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11.xml" ContentType="application/vnd.openxmlformats-officedocument.spreadsheetml.comments+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EV03\0 2025 30Oct2025\3Informe MA2025\Ind\"/>
    </mc:Choice>
  </mc:AlternateContent>
  <bookViews>
    <workbookView xWindow="0" yWindow="0" windowWidth="28800" windowHeight="12312" firstSheet="12" activeTab="12"/>
  </bookViews>
  <sheets>
    <sheet name="Matricula SD2021" sheetId="8" state="hidden" r:id="rId1"/>
    <sheet name="Indicadores 2022-2023 TSU" sheetId="2" state="hidden" r:id="rId2"/>
    <sheet name="Indicadores 2021-2022 TSU" sheetId="11" state="hidden" r:id="rId3"/>
    <sheet name="Indicadores 2021-2022 ING" sheetId="12" state="hidden" r:id="rId4"/>
    <sheet name="Indicadores 2020-2021 TSU" sheetId="13" state="hidden" r:id="rId5"/>
    <sheet name="Indicadores 2020-2021 ING" sheetId="14" state="hidden" r:id="rId6"/>
    <sheet name="Indicadores 2022-2023 ING" sheetId="1" state="hidden" r:id="rId7"/>
    <sheet name="Indicadores 2023-2024 TSU" sheetId="15" state="hidden" r:id="rId8"/>
    <sheet name="Indicadores 2023-2024 ING " sheetId="16" state="hidden" r:id="rId9"/>
    <sheet name="Indicadores 2024-2025 TSU " sheetId="17" state="hidden" r:id="rId10"/>
    <sheet name="Indicadores 2024-2025 ING " sheetId="18" state="hidden" r:id="rId11"/>
    <sheet name="Indicadores 2024-2025 POSGRADO" sheetId="19" state="hidden" r:id="rId12"/>
    <sheet name="Indicadores 2024-2025 GLOBAL" sheetId="3" r:id="rId13"/>
    <sheet name="Hoja2" sheetId="10" state="hidden" r:id="rId14"/>
    <sheet name="Hoja1" sheetId="9" state="hidden" r:id="rId15"/>
  </sheets>
  <externalReferences>
    <externalReference r:id="rId16"/>
  </externalReferences>
  <definedNames>
    <definedName name="_xlnm._FilterDatabase" localSheetId="0" hidden="1">'Matricula SD2021'!$A$12:$S$91</definedName>
    <definedName name="_xlnm.Print_Area" localSheetId="5">'Indicadores 2020-2021 ING'!$A$1:$D$83</definedName>
    <definedName name="_xlnm.Print_Area" localSheetId="4">'Indicadores 2020-2021 TSU'!$A$1:$D$83</definedName>
    <definedName name="_xlnm.Print_Area" localSheetId="3">'Indicadores 2021-2022 ING'!$A$1:$D$83</definedName>
    <definedName name="_xlnm.Print_Area" localSheetId="2">'Indicadores 2021-2022 TSU'!$A$1:$D$83</definedName>
    <definedName name="_xlnm.Print_Area" localSheetId="6">'Indicadores 2022-2023 ING'!$A$1:$D$83</definedName>
    <definedName name="_xlnm.Print_Area" localSheetId="1">'Indicadores 2022-2023 TSU'!$A$1:$D$83</definedName>
    <definedName name="_xlnm.Print_Area" localSheetId="8">'Indicadores 2023-2024 ING '!$A$1:$D$83</definedName>
    <definedName name="_xlnm.Print_Area" localSheetId="7">'Indicadores 2023-2024 TSU'!$A$1:$D$83</definedName>
    <definedName name="_xlnm.Print_Area" localSheetId="12">'Indicadores 2024-2025 GLOBAL'!$A$1:$V$83</definedName>
    <definedName name="_xlnm.Print_Area" localSheetId="10">'Indicadores 2024-2025 ING '!$A$1:$D$83</definedName>
    <definedName name="_xlnm.Print_Area" localSheetId="11">'Indicadores 2024-2025 POSGRADO'!$A$1:$D$83</definedName>
    <definedName name="_xlnm.Print_Area" localSheetId="9">'Indicadores 2024-2025 TSU '!$A$1:$D$83</definedName>
    <definedName name="_xlnm.Print_Area" localSheetId="0">'Matricula SD2021'!$A$1:$P$95</definedName>
    <definedName name="_xlnm.Database" localSheetId="5">#REF!</definedName>
    <definedName name="_xlnm.Database" localSheetId="4">#REF!</definedName>
    <definedName name="_xlnm.Database" localSheetId="3">#REF!</definedName>
    <definedName name="_xlnm.Database" localSheetId="2">#REF!</definedName>
    <definedName name="_xlnm.Database" localSheetId="6">#REF!</definedName>
    <definedName name="_xlnm.Database" localSheetId="1">#REF!</definedName>
    <definedName name="_xlnm.Database" localSheetId="8">#REF!</definedName>
    <definedName name="_xlnm.Database" localSheetId="7">#REF!</definedName>
    <definedName name="_xlnm.Database" localSheetId="12">#REF!</definedName>
    <definedName name="_xlnm.Database" localSheetId="10">#REF!</definedName>
    <definedName name="_xlnm.Database" localSheetId="11">#REF!</definedName>
    <definedName name="_xlnm.Database" localSheetId="9">#REF!</definedName>
    <definedName name="_xlnm.Database">#REF!</definedName>
    <definedName name="_xlnm.Print_Titles" localSheetId="0">'Matricula SD2021'!$8:$12</definedName>
  </definedNames>
  <calcPr calcId="162913"/>
  <pivotCaches>
    <pivotCache cacheId="0" r:id="rId17"/>
    <pivotCache cacheId="1" r:id="rId18"/>
  </pivotCaches>
</workbook>
</file>

<file path=xl/calcChain.xml><?xml version="1.0" encoding="utf-8"?>
<calcChain xmlns="http://schemas.openxmlformats.org/spreadsheetml/2006/main">
  <c r="C54" i="17" l="1"/>
  <c r="C53" i="17"/>
  <c r="C54" i="18"/>
  <c r="C53" i="18"/>
  <c r="C44" i="3" l="1"/>
  <c r="C43" i="3"/>
  <c r="C24" i="3"/>
  <c r="C23" i="3"/>
  <c r="C22" i="3"/>
  <c r="C21" i="3"/>
  <c r="C20" i="3"/>
  <c r="C19" i="3"/>
  <c r="C18" i="3"/>
  <c r="C17" i="3"/>
  <c r="C16" i="3"/>
  <c r="C15" i="3"/>
  <c r="C14" i="3"/>
  <c r="C13" i="3"/>
  <c r="C12" i="3"/>
  <c r="C11" i="3"/>
  <c r="D19" i="19"/>
  <c r="D17" i="19"/>
  <c r="D15" i="19"/>
  <c r="C14" i="19"/>
  <c r="C13" i="19"/>
  <c r="C23" i="17"/>
  <c r="D25" i="3" l="1"/>
  <c r="D27" i="3" l="1"/>
  <c r="D79" i="19" l="1"/>
  <c r="D77" i="19"/>
  <c r="D75" i="19"/>
  <c r="D73" i="19"/>
  <c r="D71" i="19"/>
  <c r="D69" i="19"/>
  <c r="D64" i="19"/>
  <c r="D62" i="19"/>
  <c r="D60" i="19"/>
  <c r="D58" i="19"/>
  <c r="D55" i="19"/>
  <c r="D53" i="19"/>
  <c r="D51" i="19"/>
  <c r="D49" i="19"/>
  <c r="D47" i="19"/>
  <c r="D45" i="19"/>
  <c r="D43" i="19"/>
  <c r="D40" i="19"/>
  <c r="D38" i="19"/>
  <c r="D36" i="19"/>
  <c r="D34" i="19"/>
  <c r="D32" i="19"/>
  <c r="D30" i="19"/>
  <c r="D27" i="19"/>
  <c r="D25" i="19"/>
  <c r="D23" i="19"/>
  <c r="D21" i="19"/>
  <c r="D13" i="19"/>
  <c r="D11" i="19"/>
  <c r="D9" i="19"/>
  <c r="D79" i="18" l="1"/>
  <c r="D77" i="18"/>
  <c r="D75" i="18"/>
  <c r="D73" i="18"/>
  <c r="D71" i="18"/>
  <c r="D69" i="18"/>
  <c r="D64" i="18"/>
  <c r="D62" i="18"/>
  <c r="D60" i="18"/>
  <c r="D58" i="18"/>
  <c r="D55" i="18"/>
  <c r="D53" i="18"/>
  <c r="D51" i="18"/>
  <c r="D49" i="18"/>
  <c r="D47" i="18"/>
  <c r="D45" i="18"/>
  <c r="D43" i="18"/>
  <c r="D40" i="18"/>
  <c r="D38" i="18"/>
  <c r="D36" i="18"/>
  <c r="D34" i="18"/>
  <c r="D32" i="18"/>
  <c r="D30" i="18"/>
  <c r="D27" i="18"/>
  <c r="D25" i="18"/>
  <c r="D23" i="18"/>
  <c r="D21" i="18"/>
  <c r="D19" i="18"/>
  <c r="D17" i="18"/>
  <c r="D15" i="18"/>
  <c r="D13" i="18"/>
  <c r="D11" i="18"/>
  <c r="D9" i="18"/>
  <c r="D79" i="17"/>
  <c r="D77" i="17"/>
  <c r="D75" i="17"/>
  <c r="D73" i="17"/>
  <c r="D71" i="17"/>
  <c r="D69" i="17"/>
  <c r="D67" i="17"/>
  <c r="D64" i="17"/>
  <c r="D62" i="17"/>
  <c r="D60" i="17"/>
  <c r="D58" i="17"/>
  <c r="D55" i="17"/>
  <c r="D53" i="17"/>
  <c r="D51" i="17"/>
  <c r="D49" i="17"/>
  <c r="D47" i="17"/>
  <c r="D45" i="17"/>
  <c r="D43" i="17"/>
  <c r="D40" i="17"/>
  <c r="D38" i="17"/>
  <c r="D36" i="17"/>
  <c r="D34" i="17"/>
  <c r="D32" i="17"/>
  <c r="D30" i="17"/>
  <c r="D27" i="17"/>
  <c r="D25" i="17"/>
  <c r="D23" i="17"/>
  <c r="D21" i="17"/>
  <c r="D19" i="17"/>
  <c r="D17" i="17"/>
  <c r="D15" i="17"/>
  <c r="D13" i="17"/>
  <c r="D11" i="17"/>
  <c r="D9" i="17"/>
  <c r="D79" i="3"/>
  <c r="D77" i="3"/>
  <c r="D75" i="3"/>
  <c r="D73" i="3"/>
  <c r="D71" i="3"/>
  <c r="D69" i="3"/>
  <c r="D67" i="3"/>
  <c r="D64" i="3"/>
  <c r="D62" i="3"/>
  <c r="D60" i="3"/>
  <c r="D58" i="3"/>
  <c r="D55" i="3"/>
  <c r="D53" i="3"/>
  <c r="D51" i="3"/>
  <c r="D49" i="3"/>
  <c r="D47" i="3"/>
  <c r="D45" i="3"/>
  <c r="D43" i="3"/>
  <c r="D40" i="3"/>
  <c r="D38" i="3"/>
  <c r="D36" i="3"/>
  <c r="D34" i="3"/>
  <c r="D32" i="3"/>
  <c r="D30" i="3"/>
  <c r="D23" i="3"/>
  <c r="D21" i="3"/>
  <c r="D19" i="3"/>
  <c r="D17" i="3"/>
  <c r="D15" i="3"/>
  <c r="D13" i="3"/>
  <c r="D11" i="3"/>
  <c r="D9" i="3"/>
  <c r="C18" i="15" l="1"/>
  <c r="C17" i="15"/>
  <c r="H43" i="3" l="1"/>
  <c r="D43" i="16" l="1"/>
  <c r="D43" i="15"/>
  <c r="F43" i="3" l="1"/>
  <c r="D79" i="16"/>
  <c r="D77" i="16"/>
  <c r="D75" i="16"/>
  <c r="D73" i="16"/>
  <c r="D71" i="16"/>
  <c r="D69" i="16"/>
  <c r="D64" i="16"/>
  <c r="D62" i="16"/>
  <c r="D60" i="16"/>
  <c r="D58" i="16"/>
  <c r="D55" i="16"/>
  <c r="D53" i="16"/>
  <c r="D51" i="16"/>
  <c r="D49" i="16"/>
  <c r="D47" i="16"/>
  <c r="D45" i="16"/>
  <c r="D40" i="16"/>
  <c r="D38" i="16"/>
  <c r="D36" i="16"/>
  <c r="D34" i="16"/>
  <c r="D32" i="16"/>
  <c r="D30" i="16"/>
  <c r="D27" i="16"/>
  <c r="D25" i="16"/>
  <c r="D23" i="16"/>
  <c r="D21" i="16"/>
  <c r="D19" i="16"/>
  <c r="D17" i="16"/>
  <c r="D15" i="16"/>
  <c r="D13" i="16"/>
  <c r="D11" i="16"/>
  <c r="D9" i="16"/>
  <c r="D79" i="15"/>
  <c r="D77" i="15"/>
  <c r="D75" i="15"/>
  <c r="D73" i="15"/>
  <c r="D71" i="15"/>
  <c r="D69" i="15"/>
  <c r="D67" i="15"/>
  <c r="D64" i="15"/>
  <c r="D62" i="15"/>
  <c r="D60" i="15"/>
  <c r="D58" i="15"/>
  <c r="D55" i="15"/>
  <c r="D53" i="15"/>
  <c r="D51" i="15"/>
  <c r="D49" i="15"/>
  <c r="D47" i="15"/>
  <c r="D45" i="15"/>
  <c r="D40" i="15"/>
  <c r="D38" i="15"/>
  <c r="D36" i="15"/>
  <c r="D34" i="15"/>
  <c r="D32" i="15"/>
  <c r="D30" i="15"/>
  <c r="D27" i="15"/>
  <c r="D25" i="15"/>
  <c r="D23" i="15"/>
  <c r="D21" i="15"/>
  <c r="D19" i="15"/>
  <c r="D17" i="15"/>
  <c r="D15" i="15"/>
  <c r="D13" i="15"/>
  <c r="D11" i="15"/>
  <c r="D9" i="15"/>
  <c r="F79" i="3"/>
  <c r="F77" i="3"/>
  <c r="F75" i="3"/>
  <c r="F73" i="3"/>
  <c r="F71" i="3"/>
  <c r="F69" i="3"/>
  <c r="F67" i="3"/>
  <c r="F64" i="3"/>
  <c r="F62" i="3"/>
  <c r="F60" i="3"/>
  <c r="F58" i="3"/>
  <c r="F55" i="3"/>
  <c r="F53" i="3"/>
  <c r="F51" i="3"/>
  <c r="F49" i="3"/>
  <c r="F47" i="3"/>
  <c r="F45" i="3"/>
  <c r="F40" i="3"/>
  <c r="F38" i="3"/>
  <c r="F36" i="3"/>
  <c r="F34" i="3"/>
  <c r="F32" i="3"/>
  <c r="F30" i="3"/>
  <c r="F27" i="3"/>
  <c r="F25" i="3"/>
  <c r="F23" i="3"/>
  <c r="F21" i="3"/>
  <c r="F19" i="3"/>
  <c r="F17" i="3"/>
  <c r="F15" i="3"/>
  <c r="F13" i="3"/>
  <c r="F11" i="3"/>
  <c r="F9" i="3"/>
  <c r="D79" i="14" l="1"/>
  <c r="D77" i="14"/>
  <c r="D75" i="14"/>
  <c r="D73" i="14"/>
  <c r="D71" i="14"/>
  <c r="C69" i="14"/>
  <c r="D69" i="14" s="1"/>
  <c r="D67" i="14"/>
  <c r="D64" i="14"/>
  <c r="D62" i="14"/>
  <c r="D60" i="14"/>
  <c r="D58" i="14"/>
  <c r="D55" i="14"/>
  <c r="C54" i="14"/>
  <c r="D53" i="14"/>
  <c r="C53" i="14"/>
  <c r="D51" i="14"/>
  <c r="D49" i="14"/>
  <c r="D47" i="14"/>
  <c r="D45" i="14"/>
  <c r="D40" i="14"/>
  <c r="D38" i="14"/>
  <c r="D36" i="14"/>
  <c r="D34" i="14"/>
  <c r="D32" i="14"/>
  <c r="D30" i="14"/>
  <c r="D27" i="14"/>
  <c r="D25" i="14"/>
  <c r="D23" i="14"/>
  <c r="C23" i="14"/>
  <c r="D21" i="14"/>
  <c r="C21" i="14"/>
  <c r="D19" i="14"/>
  <c r="D17" i="14"/>
  <c r="D15" i="14"/>
  <c r="C14" i="14"/>
  <c r="D13" i="14"/>
  <c r="C13" i="14"/>
  <c r="D11" i="14"/>
  <c r="C11" i="14"/>
  <c r="D9" i="14"/>
  <c r="D79" i="13"/>
  <c r="D77" i="13"/>
  <c r="D75" i="13"/>
  <c r="D73" i="13"/>
  <c r="D71" i="13"/>
  <c r="D69" i="13"/>
  <c r="D67" i="13"/>
  <c r="D64" i="13"/>
  <c r="D62" i="13"/>
  <c r="D60" i="13"/>
  <c r="C60" i="13"/>
  <c r="D58" i="13"/>
  <c r="C58" i="13"/>
  <c r="D55" i="13"/>
  <c r="C54" i="13"/>
  <c r="D53" i="13"/>
  <c r="C53" i="13"/>
  <c r="D51" i="13"/>
  <c r="D49" i="13"/>
  <c r="D47" i="13"/>
  <c r="D45" i="13"/>
  <c r="D40" i="13"/>
  <c r="D38" i="13"/>
  <c r="D36" i="13"/>
  <c r="D34" i="13"/>
  <c r="D32" i="13"/>
  <c r="D30" i="13"/>
  <c r="D27" i="13"/>
  <c r="D25" i="13"/>
  <c r="D23" i="13"/>
  <c r="C23" i="13"/>
  <c r="D21" i="13"/>
  <c r="C21" i="13"/>
  <c r="D19" i="13"/>
  <c r="D17" i="13"/>
  <c r="D15" i="13"/>
  <c r="C14" i="13"/>
  <c r="D13" i="13"/>
  <c r="C13" i="13"/>
  <c r="D11" i="13"/>
  <c r="C11" i="13"/>
  <c r="D9" i="13"/>
  <c r="L79" i="3"/>
  <c r="L77" i="3"/>
  <c r="L75" i="3"/>
  <c r="L73" i="3"/>
  <c r="L71" i="3"/>
  <c r="L69" i="3"/>
  <c r="L67" i="3"/>
  <c r="L64" i="3"/>
  <c r="L62" i="3"/>
  <c r="L60" i="3"/>
  <c r="L58" i="3"/>
  <c r="L55" i="3"/>
  <c r="L53" i="3"/>
  <c r="L51" i="3"/>
  <c r="L49" i="3"/>
  <c r="L47" i="3"/>
  <c r="L45" i="3"/>
  <c r="L40" i="3"/>
  <c r="L38" i="3"/>
  <c r="L36" i="3"/>
  <c r="L34" i="3"/>
  <c r="L32" i="3"/>
  <c r="L30" i="3"/>
  <c r="L27" i="3"/>
  <c r="L25" i="3"/>
  <c r="L23" i="3"/>
  <c r="L21" i="3"/>
  <c r="L19" i="3"/>
  <c r="L17" i="3"/>
  <c r="L15" i="3"/>
  <c r="L13" i="3"/>
  <c r="L11" i="3"/>
  <c r="L9" i="3"/>
  <c r="J79" i="3" l="1"/>
  <c r="J77" i="3"/>
  <c r="J75" i="3"/>
  <c r="J73" i="3"/>
  <c r="J71" i="3"/>
  <c r="J69" i="3"/>
  <c r="J67" i="3"/>
  <c r="J64" i="3"/>
  <c r="J62" i="3"/>
  <c r="J60" i="3"/>
  <c r="J58" i="3"/>
  <c r="J55" i="3"/>
  <c r="J53" i="3"/>
  <c r="J51" i="3"/>
  <c r="J49" i="3"/>
  <c r="J47" i="3"/>
  <c r="J45" i="3"/>
  <c r="J40" i="3"/>
  <c r="J38" i="3"/>
  <c r="J36" i="3"/>
  <c r="J34" i="3"/>
  <c r="J32" i="3"/>
  <c r="J30" i="3"/>
  <c r="J27" i="3"/>
  <c r="J25" i="3"/>
  <c r="J23" i="3"/>
  <c r="J21" i="3"/>
  <c r="J19" i="3"/>
  <c r="J17" i="3"/>
  <c r="J15" i="3"/>
  <c r="J13" i="3"/>
  <c r="J11" i="3"/>
  <c r="J9" i="3"/>
  <c r="D79" i="12" l="1"/>
  <c r="D77" i="12"/>
  <c r="D75" i="12"/>
  <c r="D73" i="12"/>
  <c r="D71" i="12"/>
  <c r="D69" i="12"/>
  <c r="D67" i="12"/>
  <c r="D64" i="12"/>
  <c r="D62" i="12"/>
  <c r="D60" i="12"/>
  <c r="D58" i="12"/>
  <c r="D55" i="12"/>
  <c r="C54" i="12"/>
  <c r="C53" i="12"/>
  <c r="D53" i="12" s="1"/>
  <c r="C51" i="12"/>
  <c r="D51" i="12" s="1"/>
  <c r="D49" i="12"/>
  <c r="C49" i="12"/>
  <c r="D47" i="12"/>
  <c r="D45" i="12"/>
  <c r="D40" i="12"/>
  <c r="D38" i="12"/>
  <c r="D36" i="12"/>
  <c r="D34" i="12"/>
  <c r="D32" i="12"/>
  <c r="D30" i="12"/>
  <c r="D27" i="12"/>
  <c r="D25" i="12"/>
  <c r="C23" i="12"/>
  <c r="D23" i="12" s="1"/>
  <c r="C21" i="12"/>
  <c r="D21" i="12" s="1"/>
  <c r="C20" i="12"/>
  <c r="D19" i="12"/>
  <c r="C19" i="12"/>
  <c r="C18" i="12"/>
  <c r="D17" i="12" s="1"/>
  <c r="C17" i="12"/>
  <c r="D15" i="12"/>
  <c r="C14" i="12"/>
  <c r="C13" i="12"/>
  <c r="D13" i="12" s="1"/>
  <c r="C11" i="12"/>
  <c r="D11" i="12" s="1"/>
  <c r="D9" i="12"/>
  <c r="D79" i="11"/>
  <c r="D77" i="11"/>
  <c r="D75" i="11"/>
  <c r="D73" i="11"/>
  <c r="D71" i="11"/>
  <c r="D69" i="11"/>
  <c r="D67" i="11"/>
  <c r="D64" i="11"/>
  <c r="D62" i="11"/>
  <c r="D60" i="11"/>
  <c r="D58" i="11"/>
  <c r="D55" i="11"/>
  <c r="C54" i="11"/>
  <c r="D53" i="11" s="1"/>
  <c r="C53" i="11"/>
  <c r="C51" i="11"/>
  <c r="D51" i="11" s="1"/>
  <c r="C49" i="11"/>
  <c r="D49" i="11" s="1"/>
  <c r="D47" i="11"/>
  <c r="D45" i="11"/>
  <c r="D40" i="11"/>
  <c r="D38" i="11"/>
  <c r="D36" i="11"/>
  <c r="D34" i="11"/>
  <c r="D32" i="11"/>
  <c r="D30" i="11"/>
  <c r="D27" i="11"/>
  <c r="D25" i="11"/>
  <c r="C23" i="11"/>
  <c r="D23" i="11" s="1"/>
  <c r="C21" i="11"/>
  <c r="D21" i="11" s="1"/>
  <c r="C20" i="11"/>
  <c r="C19" i="11"/>
  <c r="D19" i="11" s="1"/>
  <c r="C18" i="11"/>
  <c r="D17" i="11" s="1"/>
  <c r="C17" i="11"/>
  <c r="D15" i="11"/>
  <c r="C14" i="11"/>
  <c r="C13" i="11"/>
  <c r="D13" i="11" s="1"/>
  <c r="C11" i="11"/>
  <c r="D11" i="11" s="1"/>
  <c r="D9" i="11"/>
  <c r="C23" i="2" l="1"/>
  <c r="C21" i="2"/>
  <c r="C14" i="2"/>
  <c r="C13" i="2"/>
  <c r="C11" i="2"/>
  <c r="H64" i="3" l="1"/>
  <c r="D64" i="1"/>
  <c r="D64" i="2"/>
  <c r="D79" i="2" l="1"/>
  <c r="D77" i="2"/>
  <c r="D75" i="2"/>
  <c r="D73" i="2"/>
  <c r="D71" i="2"/>
  <c r="D69" i="2"/>
  <c r="D67" i="2"/>
  <c r="D62" i="2"/>
  <c r="D60" i="2"/>
  <c r="D58" i="2"/>
  <c r="D55" i="2"/>
  <c r="D51" i="2"/>
  <c r="D49" i="2"/>
  <c r="D47" i="2"/>
  <c r="D45" i="2"/>
  <c r="D40" i="2"/>
  <c r="D38" i="2"/>
  <c r="D36" i="2"/>
  <c r="D34" i="2"/>
  <c r="D32" i="2"/>
  <c r="D30" i="2"/>
  <c r="D27" i="2"/>
  <c r="D25" i="2"/>
  <c r="D23" i="2"/>
  <c r="D21" i="2"/>
  <c r="D19" i="2"/>
  <c r="D17" i="2"/>
  <c r="D15" i="2"/>
  <c r="D11" i="2"/>
  <c r="D9" i="2"/>
  <c r="D53" i="2" l="1"/>
  <c r="D13" i="2"/>
  <c r="K91" i="8" l="1"/>
  <c r="J91" i="8"/>
  <c r="H91" i="8"/>
  <c r="G91" i="8"/>
  <c r="F91" i="8"/>
  <c r="N90" i="8"/>
  <c r="M90" i="8"/>
  <c r="O90" i="8" s="1"/>
  <c r="L90" i="8"/>
  <c r="I90" i="8"/>
  <c r="N89" i="8"/>
  <c r="M89" i="8"/>
  <c r="O89" i="8" s="1"/>
  <c r="L89" i="8"/>
  <c r="I89" i="8"/>
  <c r="N88" i="8"/>
  <c r="M88" i="8"/>
  <c r="O88" i="8" s="1"/>
  <c r="L88" i="8"/>
  <c r="I88" i="8"/>
  <c r="N87" i="8"/>
  <c r="M87" i="8"/>
  <c r="O87" i="8" s="1"/>
  <c r="L87" i="8"/>
  <c r="I87" i="8"/>
  <c r="O86" i="8"/>
  <c r="N86" i="8"/>
  <c r="M86" i="8"/>
  <c r="L86" i="8"/>
  <c r="I86" i="8"/>
  <c r="O85" i="8"/>
  <c r="N85" i="8"/>
  <c r="M85" i="8"/>
  <c r="L85" i="8"/>
  <c r="I85" i="8"/>
  <c r="O84" i="8"/>
  <c r="N84" i="8"/>
  <c r="M84" i="8"/>
  <c r="L84" i="8"/>
  <c r="I84" i="8"/>
  <c r="N83" i="8"/>
  <c r="M83" i="8"/>
  <c r="O83" i="8" s="1"/>
  <c r="L83" i="8"/>
  <c r="I83" i="8"/>
  <c r="N82" i="8"/>
  <c r="M82" i="8"/>
  <c r="O82" i="8" s="1"/>
  <c r="L82" i="8"/>
  <c r="I82" i="8"/>
  <c r="N81" i="8"/>
  <c r="M81" i="8"/>
  <c r="O81" i="8" s="1"/>
  <c r="L81" i="8"/>
  <c r="I81" i="8"/>
  <c r="N80" i="8"/>
  <c r="M80" i="8"/>
  <c r="O80" i="8" s="1"/>
  <c r="L80" i="8"/>
  <c r="I80" i="8"/>
  <c r="N79" i="8"/>
  <c r="M79" i="8"/>
  <c r="O79" i="8" s="1"/>
  <c r="L79" i="8"/>
  <c r="I79" i="8"/>
  <c r="O78" i="8"/>
  <c r="N78" i="8"/>
  <c r="M78" i="8"/>
  <c r="L78" i="8"/>
  <c r="I78" i="8"/>
  <c r="O77" i="8"/>
  <c r="N77" i="8"/>
  <c r="M77" i="8"/>
  <c r="L77" i="8"/>
  <c r="I77" i="8"/>
  <c r="O76" i="8"/>
  <c r="N76" i="8"/>
  <c r="M76" i="8"/>
  <c r="L76" i="8"/>
  <c r="I76" i="8"/>
  <c r="N75" i="8"/>
  <c r="M75" i="8"/>
  <c r="O75" i="8" s="1"/>
  <c r="L75" i="8"/>
  <c r="I75" i="8"/>
  <c r="N74" i="8"/>
  <c r="M74" i="8"/>
  <c r="O74" i="8" s="1"/>
  <c r="L74" i="8"/>
  <c r="I74" i="8"/>
  <c r="N73" i="8"/>
  <c r="M73" i="8"/>
  <c r="O73" i="8" s="1"/>
  <c r="L73" i="8"/>
  <c r="I73" i="8"/>
  <c r="N72" i="8"/>
  <c r="M72" i="8"/>
  <c r="O72" i="8" s="1"/>
  <c r="L72" i="8"/>
  <c r="I72" i="8"/>
  <c r="N71" i="8"/>
  <c r="M71" i="8"/>
  <c r="O71" i="8" s="1"/>
  <c r="L71" i="8"/>
  <c r="I71" i="8"/>
  <c r="O70" i="8"/>
  <c r="N70" i="8"/>
  <c r="M70" i="8"/>
  <c r="L70" i="8"/>
  <c r="I70" i="8"/>
  <c r="O69" i="8"/>
  <c r="N69" i="8"/>
  <c r="M69" i="8"/>
  <c r="L69" i="8"/>
  <c r="I69" i="8"/>
  <c r="O68" i="8"/>
  <c r="N68" i="8"/>
  <c r="M68" i="8"/>
  <c r="L68" i="8"/>
  <c r="I68" i="8"/>
  <c r="N67" i="8"/>
  <c r="O67" i="8" s="1"/>
  <c r="M67" i="8"/>
  <c r="L67" i="8"/>
  <c r="I67" i="8"/>
  <c r="N66" i="8"/>
  <c r="M66" i="8"/>
  <c r="O66" i="8" s="1"/>
  <c r="L66" i="8"/>
  <c r="I66" i="8"/>
  <c r="N65" i="8"/>
  <c r="M65" i="8"/>
  <c r="O65" i="8" s="1"/>
  <c r="L65" i="8"/>
  <c r="I65" i="8"/>
  <c r="N64" i="8"/>
  <c r="M64" i="8"/>
  <c r="O64" i="8" s="1"/>
  <c r="L64" i="8"/>
  <c r="I64" i="8"/>
  <c r="N63" i="8"/>
  <c r="M63" i="8"/>
  <c r="O63" i="8" s="1"/>
  <c r="L63" i="8"/>
  <c r="I63" i="8"/>
  <c r="O62" i="8"/>
  <c r="N62" i="8"/>
  <c r="M62" i="8"/>
  <c r="L62" i="8"/>
  <c r="I62" i="8"/>
  <c r="O61" i="8"/>
  <c r="N61" i="8"/>
  <c r="M61" i="8"/>
  <c r="L61" i="8"/>
  <c r="I61" i="8"/>
  <c r="O60" i="8"/>
  <c r="N60" i="8"/>
  <c r="M60" i="8"/>
  <c r="L60" i="8"/>
  <c r="I60" i="8"/>
  <c r="N59" i="8"/>
  <c r="O59" i="8" s="1"/>
  <c r="M59" i="8"/>
  <c r="L59" i="8"/>
  <c r="I59" i="8"/>
  <c r="N58" i="8"/>
  <c r="M58" i="8"/>
  <c r="O58" i="8" s="1"/>
  <c r="L58" i="8"/>
  <c r="I58" i="8"/>
  <c r="N57" i="8"/>
  <c r="M57" i="8"/>
  <c r="O57" i="8" s="1"/>
  <c r="L57" i="8"/>
  <c r="I57" i="8"/>
  <c r="N56" i="8"/>
  <c r="M56" i="8"/>
  <c r="O56" i="8" s="1"/>
  <c r="L56" i="8"/>
  <c r="I56" i="8"/>
  <c r="N55" i="8"/>
  <c r="M55" i="8"/>
  <c r="O55" i="8" s="1"/>
  <c r="L55" i="8"/>
  <c r="I55" i="8"/>
  <c r="O54" i="8"/>
  <c r="N54" i="8"/>
  <c r="M54" i="8"/>
  <c r="L54" i="8"/>
  <c r="I54" i="8"/>
  <c r="O53" i="8"/>
  <c r="N53" i="8"/>
  <c r="M53" i="8"/>
  <c r="L53" i="8"/>
  <c r="I53" i="8"/>
  <c r="O52" i="8"/>
  <c r="N52" i="8"/>
  <c r="M52" i="8"/>
  <c r="L52" i="8"/>
  <c r="I52" i="8"/>
  <c r="N51" i="8"/>
  <c r="M51" i="8"/>
  <c r="O51" i="8" s="1"/>
  <c r="L51" i="8"/>
  <c r="I51" i="8"/>
  <c r="N50" i="8"/>
  <c r="M50" i="8"/>
  <c r="O50" i="8" s="1"/>
  <c r="L50" i="8"/>
  <c r="I50" i="8"/>
  <c r="N49" i="8"/>
  <c r="M49" i="8"/>
  <c r="O49" i="8" s="1"/>
  <c r="L49" i="8"/>
  <c r="I49" i="8"/>
  <c r="N48" i="8"/>
  <c r="M48" i="8"/>
  <c r="O48" i="8" s="1"/>
  <c r="L48" i="8"/>
  <c r="I48" i="8"/>
  <c r="N47" i="8"/>
  <c r="M47" i="8"/>
  <c r="O47" i="8" s="1"/>
  <c r="L47" i="8"/>
  <c r="I47" i="8"/>
  <c r="O46" i="8"/>
  <c r="N46" i="8"/>
  <c r="M46" i="8"/>
  <c r="L46" i="8"/>
  <c r="I46" i="8"/>
  <c r="O45" i="8"/>
  <c r="N45" i="8"/>
  <c r="M45" i="8"/>
  <c r="L45" i="8"/>
  <c r="I45" i="8"/>
  <c r="O44" i="8"/>
  <c r="N44" i="8"/>
  <c r="M44" i="8"/>
  <c r="L44" i="8"/>
  <c r="I44" i="8"/>
  <c r="N43" i="8"/>
  <c r="M43" i="8"/>
  <c r="O43" i="8" s="1"/>
  <c r="L43" i="8"/>
  <c r="I43" i="8"/>
  <c r="N42" i="8"/>
  <c r="M42" i="8"/>
  <c r="O42" i="8" s="1"/>
  <c r="L42" i="8"/>
  <c r="I42" i="8"/>
  <c r="N41" i="8"/>
  <c r="M41" i="8"/>
  <c r="O41" i="8" s="1"/>
  <c r="L41" i="8"/>
  <c r="I41" i="8"/>
  <c r="N40" i="8"/>
  <c r="M40" i="8"/>
  <c r="O40" i="8" s="1"/>
  <c r="L40" i="8"/>
  <c r="I40" i="8"/>
  <c r="N39" i="8"/>
  <c r="M39" i="8"/>
  <c r="O39" i="8" s="1"/>
  <c r="L39" i="8"/>
  <c r="I39" i="8"/>
  <c r="O38" i="8"/>
  <c r="N38" i="8"/>
  <c r="M38" i="8"/>
  <c r="L38" i="8"/>
  <c r="I38" i="8"/>
  <c r="O37" i="8"/>
  <c r="N37" i="8"/>
  <c r="M37" i="8"/>
  <c r="L37" i="8"/>
  <c r="I37" i="8"/>
  <c r="O36" i="8"/>
  <c r="N36" i="8"/>
  <c r="M36" i="8"/>
  <c r="L36" i="8"/>
  <c r="I36" i="8"/>
  <c r="N35" i="8"/>
  <c r="M35" i="8"/>
  <c r="O35" i="8" s="1"/>
  <c r="L35" i="8"/>
  <c r="I35" i="8"/>
  <c r="N34" i="8"/>
  <c r="M34" i="8"/>
  <c r="O34" i="8" s="1"/>
  <c r="L34" i="8"/>
  <c r="I34" i="8"/>
  <c r="N33" i="8"/>
  <c r="M33" i="8"/>
  <c r="O33" i="8" s="1"/>
  <c r="L33" i="8"/>
  <c r="I33" i="8"/>
  <c r="N32" i="8"/>
  <c r="M32" i="8"/>
  <c r="O32" i="8" s="1"/>
  <c r="L32" i="8"/>
  <c r="I32" i="8"/>
  <c r="N31" i="8"/>
  <c r="M31" i="8"/>
  <c r="O31" i="8" s="1"/>
  <c r="L31" i="8"/>
  <c r="I31" i="8"/>
  <c r="O30" i="8"/>
  <c r="N30" i="8"/>
  <c r="M30" i="8"/>
  <c r="L30" i="8"/>
  <c r="I30" i="8"/>
  <c r="O29" i="8"/>
  <c r="N29" i="8"/>
  <c r="M29" i="8"/>
  <c r="L29" i="8"/>
  <c r="I29" i="8"/>
  <c r="O28" i="8"/>
  <c r="N28" i="8"/>
  <c r="M28" i="8"/>
  <c r="L28" i="8"/>
  <c r="I28" i="8"/>
  <c r="N27" i="8"/>
  <c r="M27" i="8"/>
  <c r="O27" i="8" s="1"/>
  <c r="L27" i="8"/>
  <c r="I27" i="8"/>
  <c r="N26" i="8"/>
  <c r="M26" i="8"/>
  <c r="O26" i="8" s="1"/>
  <c r="L26" i="8"/>
  <c r="I26" i="8"/>
  <c r="N25" i="8"/>
  <c r="M25" i="8"/>
  <c r="O25" i="8" s="1"/>
  <c r="L25" i="8"/>
  <c r="I25" i="8"/>
  <c r="N24" i="8"/>
  <c r="M24" i="8"/>
  <c r="O24" i="8" s="1"/>
  <c r="L24" i="8"/>
  <c r="I24" i="8"/>
  <c r="N23" i="8"/>
  <c r="M23" i="8"/>
  <c r="O23" i="8" s="1"/>
  <c r="L23" i="8"/>
  <c r="I23" i="8"/>
  <c r="O22" i="8"/>
  <c r="N22" i="8"/>
  <c r="M22" i="8"/>
  <c r="L22" i="8"/>
  <c r="I22" i="8"/>
  <c r="O21" i="8"/>
  <c r="N21" i="8"/>
  <c r="M21" i="8"/>
  <c r="L21" i="8"/>
  <c r="I21" i="8"/>
  <c r="O20" i="8"/>
  <c r="N20" i="8"/>
  <c r="M20" i="8"/>
  <c r="L20" i="8"/>
  <c r="I20" i="8"/>
  <c r="N19" i="8"/>
  <c r="M19" i="8"/>
  <c r="O19" i="8" s="1"/>
  <c r="L19" i="8"/>
  <c r="I19" i="8"/>
  <c r="N18" i="8"/>
  <c r="M18" i="8"/>
  <c r="O18" i="8" s="1"/>
  <c r="L18" i="8"/>
  <c r="I18" i="8"/>
  <c r="I91" i="8" s="1"/>
  <c r="N17" i="8"/>
  <c r="M17" i="8"/>
  <c r="O17" i="8" s="1"/>
  <c r="L17" i="8"/>
  <c r="I17" i="8"/>
  <c r="N16" i="8"/>
  <c r="M16" i="8"/>
  <c r="O16" i="8" s="1"/>
  <c r="L16" i="8"/>
  <c r="I16" i="8"/>
  <c r="N15" i="8"/>
  <c r="M15" i="8"/>
  <c r="O15" i="8" s="1"/>
  <c r="L15" i="8"/>
  <c r="I15" i="8"/>
  <c r="O14" i="8"/>
  <c r="N14" i="8"/>
  <c r="M14" i="8"/>
  <c r="L14" i="8"/>
  <c r="I14" i="8"/>
  <c r="O13" i="8"/>
  <c r="N13" i="8"/>
  <c r="N91" i="8" s="1"/>
  <c r="M13" i="8"/>
  <c r="M91" i="8" s="1"/>
  <c r="L13" i="8"/>
  <c r="L91" i="8" s="1"/>
  <c r="I13" i="8"/>
  <c r="O91" i="8" l="1"/>
  <c r="D67" i="1" l="1"/>
  <c r="H67" i="3"/>
  <c r="H79" i="3" l="1"/>
  <c r="D79" i="1"/>
  <c r="H69" i="3" l="1"/>
  <c r="D69" i="1"/>
  <c r="H62" i="3" l="1"/>
  <c r="H60" i="3"/>
  <c r="H58" i="3"/>
  <c r="D62" i="1"/>
  <c r="D60" i="1"/>
  <c r="D58" i="1"/>
  <c r="H27" i="3" l="1"/>
  <c r="H25" i="3"/>
  <c r="D27" i="1"/>
  <c r="D25" i="1"/>
  <c r="H53" i="3" l="1"/>
  <c r="H21" i="3" l="1"/>
  <c r="D21" i="1"/>
  <c r="D9" i="1" l="1"/>
  <c r="D11" i="1"/>
  <c r="D13" i="1"/>
  <c r="D15" i="1"/>
  <c r="D17" i="1"/>
  <c r="D19" i="1"/>
  <c r="D23" i="1"/>
  <c r="D30" i="1"/>
  <c r="D32" i="1"/>
  <c r="D34" i="1"/>
  <c r="D36" i="1"/>
  <c r="D38" i="1"/>
  <c r="D40" i="1"/>
  <c r="D45" i="1"/>
  <c r="D47" i="1"/>
  <c r="D49" i="1"/>
  <c r="D51" i="1"/>
  <c r="D55" i="1"/>
  <c r="D73" i="1"/>
  <c r="D75" i="1"/>
  <c r="D77" i="1"/>
  <c r="H30" i="3"/>
  <c r="H32" i="3"/>
  <c r="H34" i="3"/>
  <c r="H36" i="3"/>
  <c r="H38" i="3"/>
  <c r="H40" i="3"/>
  <c r="H45" i="3"/>
  <c r="H47" i="3"/>
  <c r="H49" i="3"/>
  <c r="H51" i="3"/>
  <c r="O53" i="3"/>
  <c r="P53" i="3"/>
  <c r="Q53" i="3"/>
  <c r="H55" i="3"/>
  <c r="O64" i="3"/>
  <c r="P64" i="3"/>
  <c r="Q64" i="3"/>
  <c r="H73" i="3"/>
  <c r="H75" i="3"/>
  <c r="H77" i="3"/>
  <c r="D53" i="1" l="1"/>
  <c r="H23" i="3"/>
  <c r="H15" i="3"/>
  <c r="H13" i="3"/>
  <c r="H19" i="3"/>
  <c r="H17" i="3"/>
  <c r="H11" i="3"/>
  <c r="H9" i="3"/>
  <c r="H71" i="3" l="1"/>
  <c r="D71" i="1"/>
</calcChain>
</file>

<file path=xl/comments1.xml><?xml version="1.0" encoding="utf-8"?>
<comments xmlns="http://schemas.openxmlformats.org/spreadsheetml/2006/main">
  <authors>
    <author>EscolaresSIEA</author>
    <author>Usuario de Windows</author>
    <author>pc18dic@outlook.com</author>
  </authors>
  <commentList>
    <comment ref="C11" authorId="0" shapeId="0">
      <text>
        <r>
          <rPr>
            <b/>
            <sz val="9"/>
            <color indexed="81"/>
            <rFont val="Tahoma"/>
            <family val="2"/>
          </rPr>
          <t>EscolaresSIEA:</t>
        </r>
        <r>
          <rPr>
            <sz val="9"/>
            <color indexed="81"/>
            <rFont val="Tahoma"/>
            <family val="2"/>
          </rPr>
          <t xml:space="preserve">
Sep-Dic2022 = (H= 51, M= 24)
Ene-Abr2023= (H= 23 , M= 10)
May-Ago2023= (H= 31, M=13)
Total=152</t>
        </r>
      </text>
    </comment>
    <comment ref="C13" authorId="0" shapeId="0">
      <text>
        <r>
          <rPr>
            <b/>
            <sz val="9"/>
            <color indexed="81"/>
            <rFont val="Tahoma"/>
            <family val="2"/>
          </rPr>
          <t>EscolaresSIEA:</t>
        </r>
        <r>
          <rPr>
            <sz val="9"/>
            <color indexed="81"/>
            <rFont val="Tahoma"/>
            <family val="2"/>
          </rPr>
          <t xml:space="preserve">
Sep-Dic2022= 2406
Ene-Abr2023=1248
May-Ago2023=995
Total=4649</t>
        </r>
      </text>
    </comment>
    <comment ref="C15" authorId="0" shapeId="0">
      <text>
        <r>
          <rPr>
            <b/>
            <sz val="9"/>
            <color indexed="81"/>
            <rFont val="Tahoma"/>
            <family val="2"/>
          </rPr>
          <t>SES Tit 01:</t>
        </r>
        <r>
          <rPr>
            <sz val="9"/>
            <color indexed="81"/>
            <rFont val="Tahoma"/>
            <family val="2"/>
          </rPr>
          <t xml:space="preserve">
EGRESADOS DE LA COHORTE MAYO-AGOSTO 2023: 1012</t>
        </r>
      </text>
    </comment>
    <comment ref="C16" authorId="0" shapeId="0">
      <text>
        <r>
          <rPr>
            <b/>
            <sz val="9"/>
            <color indexed="81"/>
            <rFont val="Tahoma"/>
            <family val="2"/>
          </rPr>
          <t>SES Tit 01:</t>
        </r>
        <r>
          <rPr>
            <sz val="9"/>
            <color indexed="81"/>
            <rFont val="Tahoma"/>
            <family val="2"/>
          </rPr>
          <t xml:space="preserve">
NUEVO INGRESO TSU
Sep-Dic 2020 Despresurizado: 691
Sep-Dic 2021 Escolarizado: 1218
Total: 1909</t>
        </r>
      </text>
    </comment>
    <comment ref="C17" authorId="0" shapeId="0">
      <text>
        <r>
          <rPr>
            <b/>
            <sz val="9"/>
            <color indexed="81"/>
            <rFont val="Tahoma"/>
            <family val="2"/>
          </rPr>
          <t>SES Tit 01:</t>
        </r>
        <r>
          <rPr>
            <sz val="9"/>
            <color indexed="81"/>
            <rFont val="Tahoma"/>
            <family val="2"/>
          </rPr>
          <t xml:space="preserve">
TITULADOS
SEP-DIC 2022: 16
ENE-ABR 2023: 11
MAY-AGO 2023: 1097
TOTAL: 1124</t>
        </r>
      </text>
    </comment>
    <comment ref="C18" authorId="0" shapeId="0">
      <text>
        <r>
          <rPr>
            <b/>
            <sz val="9"/>
            <color indexed="81"/>
            <rFont val="Tahoma"/>
            <family val="2"/>
          </rPr>
          <t>SES Tit 01:</t>
        </r>
        <r>
          <rPr>
            <sz val="9"/>
            <color indexed="81"/>
            <rFont val="Tahoma"/>
            <family val="2"/>
          </rPr>
          <t xml:space="preserve">
EGRESADOS
SEP-DIC 2022: 16
ENE-ABR 2023: 11
MAY-AGO 2023: 1097
TOTAL: 1124</t>
        </r>
      </text>
    </comment>
    <comment ref="C19" authorId="0" shapeId="0">
      <text>
        <r>
          <rPr>
            <b/>
            <sz val="9"/>
            <color indexed="81"/>
            <rFont val="Tahoma"/>
            <family val="2"/>
          </rPr>
          <t>SES Tit 01:</t>
        </r>
        <r>
          <rPr>
            <sz val="9"/>
            <color indexed="81"/>
            <rFont val="Tahoma"/>
            <family val="2"/>
          </rPr>
          <t xml:space="preserve">
ESTADIAS LIBERADAS
SEP-DIC 2022: 16
ENE-ABR 2023: 11
MAY-AGO 2023: 1097
TOTAL: 1124</t>
        </r>
      </text>
    </comment>
    <comment ref="C20" authorId="0" shapeId="0">
      <text>
        <r>
          <rPr>
            <b/>
            <sz val="9"/>
            <color indexed="81"/>
            <rFont val="Tahoma"/>
            <family val="2"/>
          </rPr>
          <t>SES Tit 01:</t>
        </r>
        <r>
          <rPr>
            <sz val="9"/>
            <color indexed="81"/>
            <rFont val="Tahoma"/>
            <family val="2"/>
          </rPr>
          <t xml:space="preserve">
MATRICULA ESTADIA
SEP-DIC 2022: 25
ENE-ABR 2023: 13
MAY-AGO 2023: 1159
TOTAL: 1197</t>
        </r>
      </text>
    </comment>
    <comment ref="C21" authorId="0" shapeId="0">
      <text>
        <r>
          <rPr>
            <b/>
            <sz val="9"/>
            <color indexed="81"/>
            <rFont val="Tahoma"/>
            <family val="2"/>
          </rPr>
          <t>EscolaresSIEA:</t>
        </r>
        <r>
          <rPr>
            <sz val="9"/>
            <color indexed="81"/>
            <rFont val="Tahoma"/>
            <family val="2"/>
          </rPr>
          <t xml:space="preserve">
Sep-Dic2022 = (H=1721 ,M=1523)
Ene-Abr2023= (H=8 ,M=4)
May-Ago2023= (H= 68, M=52)
Total=3376</t>
        </r>
      </text>
    </comment>
    <comment ref="C23" authorId="0" shapeId="0">
      <text>
        <r>
          <rPr>
            <b/>
            <sz val="9"/>
            <color indexed="81"/>
            <rFont val="Tahoma"/>
            <family val="2"/>
          </rPr>
          <t>EscolaresSIEA:</t>
        </r>
        <r>
          <rPr>
            <sz val="9"/>
            <color indexed="81"/>
            <rFont val="Tahoma"/>
            <family val="2"/>
          </rPr>
          <t xml:space="preserve">
Sep-Dic2022 = (H=324 ,M=169)
Ene-Abr2023= (H=165 ,M=86)
May-Ago2023= (H=144 ,M=83)
Total=971</t>
        </r>
      </text>
    </comment>
    <comment ref="B25" authorId="1" shapeId="0">
      <text>
        <r>
          <rPr>
            <b/>
            <sz val="9"/>
            <color indexed="81"/>
            <rFont val="Tahoma"/>
            <family val="2"/>
          </rPr>
          <t>PEI 2019-2024</t>
        </r>
        <r>
          <rPr>
            <sz val="9"/>
            <color indexed="81"/>
            <rFont val="Tahoma"/>
            <family val="2"/>
          </rPr>
          <t xml:space="preserve">
</t>
        </r>
      </text>
    </comment>
    <comment ref="B27" authorId="2" shapeId="0">
      <text>
        <r>
          <rPr>
            <b/>
            <sz val="9"/>
            <color indexed="81"/>
            <rFont val="Tahoma"/>
            <family val="2"/>
          </rPr>
          <t>PEI 2019-2024</t>
        </r>
      </text>
    </comment>
  </commentList>
</comments>
</file>

<file path=xl/comments10.xml><?xml version="1.0" encoding="utf-8"?>
<comments xmlns="http://schemas.openxmlformats.org/spreadsheetml/2006/main">
  <authors>
    <author>SES Tit 01</author>
    <author>HELENA</author>
  </authors>
  <commentList>
    <comment ref="C15" authorId="0" shapeId="0">
      <text>
        <r>
          <rPr>
            <b/>
            <sz val="9"/>
            <color indexed="81"/>
            <rFont val="Tahoma"/>
            <family val="2"/>
          </rPr>
          <t>SES Tit 01:</t>
        </r>
        <r>
          <rPr>
            <sz val="9"/>
            <color indexed="81"/>
            <rFont val="Tahoma"/>
            <family val="2"/>
          </rPr>
          <t xml:space="preserve">
EGRESADOS DE LA COHORTE ENERO-ABRIL 2025: 935</t>
        </r>
      </text>
    </comment>
    <comment ref="C17" authorId="0" shapeId="0">
      <text>
        <r>
          <rPr>
            <b/>
            <sz val="9"/>
            <color indexed="81"/>
            <rFont val="Tahoma"/>
            <family val="2"/>
          </rPr>
          <t>SES Tit 01:</t>
        </r>
        <r>
          <rPr>
            <sz val="9"/>
            <color indexed="81"/>
            <rFont val="Tahoma"/>
            <family val="2"/>
          </rPr>
          <t xml:space="preserve">
EGRESADOS
SEP-DIC 2024: 21
ENE-ABR 2025: 956
TOTAL: 977</t>
        </r>
      </text>
    </comment>
    <comment ref="C18" authorId="0" shapeId="0">
      <text>
        <r>
          <rPr>
            <b/>
            <sz val="9"/>
            <color indexed="81"/>
            <rFont val="Tahoma"/>
            <family val="2"/>
          </rPr>
          <t>SES Tit 01:</t>
        </r>
        <r>
          <rPr>
            <sz val="9"/>
            <color indexed="81"/>
            <rFont val="Tahoma"/>
            <family val="2"/>
          </rPr>
          <t xml:space="preserve">
TITULADOS
SEP-DIC 2024: 21
ENE-ABR 2025: 956
TOTAL: 977</t>
        </r>
      </text>
    </comment>
    <comment ref="C19" authorId="0" shapeId="0">
      <text>
        <r>
          <rPr>
            <b/>
            <sz val="9"/>
            <color indexed="81"/>
            <rFont val="Tahoma"/>
            <family val="2"/>
          </rPr>
          <t>SES Tit 01:</t>
        </r>
        <r>
          <rPr>
            <sz val="9"/>
            <color indexed="81"/>
            <rFont val="Tahoma"/>
            <family val="2"/>
          </rPr>
          <t xml:space="preserve">
ESTADIAS LIBERADAS
SEP-DIC 2024: 21
ENE-ABR 2025: 956
TOTAL: 977</t>
        </r>
      </text>
    </comment>
    <comment ref="C20" authorId="0" shapeId="0">
      <text>
        <r>
          <rPr>
            <b/>
            <sz val="9"/>
            <color indexed="81"/>
            <rFont val="Tahoma"/>
            <family val="2"/>
          </rPr>
          <t>SES Tit 01:</t>
        </r>
        <r>
          <rPr>
            <sz val="9"/>
            <color indexed="81"/>
            <rFont val="Tahoma"/>
            <family val="2"/>
          </rPr>
          <t xml:space="preserve">
MATRICULA ESTADIA
SEP-DIC 2024: 28
ENE-ABR 2025: 999
TOTAL: 1027</t>
        </r>
      </text>
    </comment>
    <comment ref="C53" authorId="1" shapeId="0">
      <text>
        <r>
          <rPr>
            <b/>
            <sz val="9"/>
            <color indexed="81"/>
            <rFont val="Tahoma"/>
            <charset val="1"/>
          </rPr>
          <t>HELENA:</t>
        </r>
        <r>
          <rPr>
            <sz val="9"/>
            <color indexed="81"/>
            <rFont val="Tahoma"/>
            <charset val="1"/>
          </rPr>
          <t xml:space="preserve">
SEP-DIC 23 (6)
ENE-ABR 24 (428)
MAY-AGO 24 (21)
</t>
        </r>
      </text>
    </comment>
    <comment ref="C54" authorId="1" shapeId="0">
      <text>
        <r>
          <rPr>
            <b/>
            <sz val="9"/>
            <color indexed="81"/>
            <rFont val="Tahoma"/>
            <charset val="1"/>
          </rPr>
          <t>HELENA:</t>
        </r>
        <r>
          <rPr>
            <sz val="9"/>
            <color indexed="81"/>
            <rFont val="Tahoma"/>
            <charset val="1"/>
          </rPr>
          <t xml:space="preserve">
SEP-DIC 23 (6)
ENE-ABR 24 (858)
MAY-AGO 24 (21)
</t>
        </r>
      </text>
    </comment>
  </commentList>
</comments>
</file>

<file path=xl/comments11.xml><?xml version="1.0" encoding="utf-8"?>
<comments xmlns="http://schemas.openxmlformats.org/spreadsheetml/2006/main">
  <authors>
    <author>Usuario de Windows</author>
    <author>Desarrollo Institucional</author>
    <author>pc18dic@outlook.com</author>
    <author>Cedesoft10</author>
  </authors>
  <commentList>
    <comment ref="R7" authorId="0" shapeId="0">
      <text>
        <r>
          <rPr>
            <b/>
            <sz val="9"/>
            <color indexed="81"/>
            <rFont val="Tahoma"/>
            <charset val="1"/>
          </rPr>
          <t>Lineamientos de la Reunión Virtual para la Homologación de Indicadores Básicos Institucionales 29/Ene/2024</t>
        </r>
      </text>
    </comment>
    <comment ref="S7" authorId="0" shapeId="0">
      <text>
        <r>
          <rPr>
            <b/>
            <sz val="9"/>
            <color indexed="81"/>
            <rFont val="Tahoma"/>
            <charset val="1"/>
          </rPr>
          <t>Lineamientos de la Reunión Virtual para la Homologación de Indicadores Básicos Institucionales 29/Ene/2024</t>
        </r>
      </text>
    </comment>
    <comment ref="R17" authorId="1" shapeId="0">
      <text>
        <r>
          <rPr>
            <b/>
            <sz val="11"/>
            <color indexed="81"/>
            <rFont val="Tahoma"/>
            <family val="2"/>
          </rPr>
          <t>REFERENTE A ESTE RUBRO COMENTO QUE BASADO EN LA FORMULA EL INDICADOR ES CORRECTO, YA SE UBICAN TODOS LOS TITULADOS EN EL CICLO ESCOLAR ENTRE LOS EGRESADOS DEL MISMO.</t>
        </r>
      </text>
    </comment>
    <comment ref="B25" authorId="0" shapeId="0">
      <text>
        <r>
          <rPr>
            <b/>
            <sz val="9"/>
            <color indexed="81"/>
            <rFont val="Tahoma"/>
            <family val="2"/>
          </rPr>
          <t>PEI 2019-2024</t>
        </r>
      </text>
    </comment>
    <comment ref="B27" authorId="2" shapeId="0">
      <text>
        <r>
          <rPr>
            <b/>
            <sz val="9"/>
            <color indexed="81"/>
            <rFont val="Tahoma"/>
            <family val="2"/>
          </rPr>
          <t>PEI 2019-2024</t>
        </r>
      </text>
    </comment>
    <comment ref="K54" authorId="0" shapeId="0">
      <text>
        <r>
          <rPr>
            <b/>
            <sz val="9"/>
            <color indexed="81"/>
            <rFont val="Tahoma"/>
            <family val="2"/>
          </rPr>
          <t>Egresados 950
Sep-Dic 2020=21
Ene-Abr 2021=929</t>
        </r>
      </text>
    </comment>
    <comment ref="F64" authorId="0" shapeId="0">
      <text>
        <r>
          <rPr>
            <b/>
            <sz val="9"/>
            <color indexed="81"/>
            <rFont val="Tahoma"/>
            <family val="2"/>
          </rPr>
          <t>Actualizado por la L.C. Liliana Peña Tapia el 12/Mar/2024 11:46 am
Email: Fwd: Indicador con modificaciones</t>
        </r>
      </text>
    </comment>
    <comment ref="E68" authorId="0" shapeId="0">
      <text>
        <r>
          <rPr>
            <b/>
            <sz val="9"/>
            <color indexed="81"/>
            <rFont val="Tahoma"/>
            <family val="2"/>
          </rPr>
          <t>Número de egresados del ciclo escolar 2022-2023 a nivel zona de influencia de la UTCV</t>
        </r>
      </text>
    </comment>
    <comment ref="K68" authorId="3" shapeId="0">
      <text>
        <r>
          <rPr>
            <b/>
            <sz val="9"/>
            <color indexed="81"/>
            <rFont val="Tahoma"/>
            <family val="2"/>
          </rPr>
          <t>Egresados en el ciclo escolar 2016-2017, en la zona de influencia de la UTCV (dato proporcionado por el Lic. José Luiz López Zurutuza-DET).</t>
        </r>
      </text>
    </comment>
    <comment ref="R71" authorId="3" shapeId="0">
      <text>
        <r>
          <rPr>
            <b/>
            <sz val="9"/>
            <color indexed="81"/>
            <rFont val="Tahoma"/>
            <family val="2"/>
          </rPr>
          <t>Actualizado por la DET el 11/Sep/18.</t>
        </r>
      </text>
    </comment>
    <comment ref="F79" authorId="0" shapeId="0">
      <text>
        <r>
          <rPr>
            <b/>
            <sz val="9"/>
            <color indexed="81"/>
            <rFont val="Tahoma"/>
            <family val="2"/>
          </rPr>
          <t>Actualizado por la L.C. Liliana Peña Tapia el 12/Mar/2024 11:46 am
Email: Fwd: Indicador con modificaciones</t>
        </r>
      </text>
    </comment>
  </commentList>
</comments>
</file>

<file path=xl/comments2.xml><?xml version="1.0" encoding="utf-8"?>
<comments xmlns="http://schemas.openxmlformats.org/spreadsheetml/2006/main">
  <authors>
    <author>EscolaresSIEA</author>
    <author>Jesus Montes Rebolledo</author>
    <author>Usuario de Windows</author>
    <author>pc18dic@outlook.com</author>
    <author>martha</author>
  </authors>
  <commentList>
    <comment ref="C11" authorId="0" shapeId="0">
      <text>
        <r>
          <rPr>
            <b/>
            <sz val="9"/>
            <color indexed="81"/>
            <rFont val="Tahoma"/>
            <family val="2"/>
          </rPr>
          <t>EscolaresSIEA:</t>
        </r>
        <r>
          <rPr>
            <sz val="9"/>
            <color indexed="81"/>
            <rFont val="Tahoma"/>
            <family val="2"/>
          </rPr>
          <t xml:space="preserve">
SEP-DIC2021 = (H=19 , M=21)
ENE-ABR2022 = (H=21, M=12)
MAY-AGO2022 = (H= 23, M= 14)
Total: 110</t>
        </r>
      </text>
    </comment>
    <comment ref="C13" authorId="1" shapeId="0">
      <text>
        <r>
          <rPr>
            <b/>
            <sz val="9"/>
            <color indexed="81"/>
            <rFont val="Tahoma"/>
            <family val="2"/>
          </rPr>
          <t>EscolaresSIEA:</t>
        </r>
        <r>
          <rPr>
            <sz val="9"/>
            <color indexed="81"/>
            <rFont val="Tahoma"/>
            <family val="2"/>
          </rPr>
          <t xml:space="preserve">
SEP-DIC2021 = 2,963
ENE-ABR2022 = 1,118
MAY-AGO2022 = 1,009
Total: 5,090</t>
        </r>
      </text>
    </comment>
    <comment ref="C14" authorId="1" shapeId="0">
      <text>
        <r>
          <rPr>
            <b/>
            <sz val="9"/>
            <color indexed="81"/>
            <rFont val="Tahoma"/>
            <family val="2"/>
          </rPr>
          <t>EscolaresSIEA:</t>
        </r>
        <r>
          <rPr>
            <sz val="9"/>
            <color indexed="81"/>
            <rFont val="Tahoma"/>
            <family val="2"/>
          </rPr>
          <t xml:space="preserve">
SEP-DIC2021 = 24,226
ENE-ABR2022 = 21,787
MAY-AGO2022 = 13,843
Total: 59,856</t>
        </r>
      </text>
    </comment>
    <comment ref="C15" authorId="1" shapeId="0">
      <text>
        <r>
          <rPr>
            <b/>
            <sz val="9"/>
            <color indexed="81"/>
            <rFont val="Tahoma"/>
            <family val="2"/>
          </rPr>
          <t>Titulación:</t>
        </r>
        <r>
          <rPr>
            <sz val="9"/>
            <color indexed="81"/>
            <rFont val="Tahoma"/>
            <family val="2"/>
          </rPr>
          <t xml:space="preserve">
EGRESADOS DE LA COHORTE
MAY-AGO 2022: 982</t>
        </r>
      </text>
    </comment>
    <comment ref="C16" authorId="0" shapeId="0">
      <text>
        <r>
          <rPr>
            <b/>
            <sz val="9"/>
            <color indexed="81"/>
            <rFont val="Tahoma"/>
            <family val="2"/>
          </rPr>
          <t>Titulación:</t>
        </r>
        <r>
          <rPr>
            <sz val="9"/>
            <color indexed="81"/>
            <rFont val="Tahoma"/>
            <family val="2"/>
          </rPr>
          <t xml:space="preserve">
NUEVO INGRESO TSU
Sep-Dic 2019 Despresurizado: 842
Sep-Dic 2020 Escolarizado: 1102
Total: 1944</t>
        </r>
      </text>
    </comment>
    <comment ref="C17" authorId="0" shapeId="0">
      <text>
        <r>
          <rPr>
            <b/>
            <sz val="9"/>
            <color indexed="81"/>
            <rFont val="Tahoma"/>
            <family val="2"/>
          </rPr>
          <t>Titulación:</t>
        </r>
        <r>
          <rPr>
            <sz val="9"/>
            <color indexed="81"/>
            <rFont val="Tahoma"/>
            <family val="2"/>
          </rPr>
          <t xml:space="preserve">
EGRESADOS
SEP-DIC 2021: 17
ENE-ABR 2022: 7
MAY-AGO 2022: 1054
TOTAL: 1078</t>
        </r>
      </text>
    </comment>
    <comment ref="C18" authorId="0" shapeId="0">
      <text>
        <r>
          <rPr>
            <b/>
            <sz val="9"/>
            <color indexed="81"/>
            <rFont val="Tahoma"/>
            <family val="2"/>
          </rPr>
          <t>Titulación:</t>
        </r>
        <r>
          <rPr>
            <sz val="9"/>
            <color indexed="81"/>
            <rFont val="Tahoma"/>
            <family val="2"/>
          </rPr>
          <t xml:space="preserve">
TITULADOS
SEP-DIC 2021: 17
ENE-ABR 2022: 7
MAY-AGO 2022: 1054
TOTAL: 1078</t>
        </r>
      </text>
    </comment>
    <comment ref="C19" authorId="0" shapeId="0">
      <text>
        <r>
          <rPr>
            <b/>
            <sz val="9"/>
            <color indexed="81"/>
            <rFont val="Tahoma"/>
            <family val="2"/>
          </rPr>
          <t>Titulación:</t>
        </r>
        <r>
          <rPr>
            <sz val="9"/>
            <color indexed="81"/>
            <rFont val="Tahoma"/>
            <family val="2"/>
          </rPr>
          <t xml:space="preserve">
ESTADIAS LIBERADAS
SEP-DIC 2021: 17
ENE-ABR 2022: 7
MAY-AGO 2022: 1054
TOTAL: 1078</t>
        </r>
      </text>
    </comment>
    <comment ref="C20" authorId="0" shapeId="0">
      <text>
        <r>
          <rPr>
            <b/>
            <sz val="9"/>
            <color indexed="81"/>
            <rFont val="Tahoma"/>
            <family val="2"/>
          </rPr>
          <t>Titulación:</t>
        </r>
        <r>
          <rPr>
            <sz val="9"/>
            <color indexed="81"/>
            <rFont val="Tahoma"/>
            <family val="2"/>
          </rPr>
          <t xml:space="preserve">
MATRICULA ESTADIA
SEP-DIC 2021: 31
ENE-ABR 2022: 13
MAY-AGO 2022: 1131
TOTAL: 1175</t>
        </r>
      </text>
    </comment>
    <comment ref="C21" authorId="1" shapeId="0">
      <text>
        <r>
          <rPr>
            <b/>
            <sz val="9"/>
            <color indexed="81"/>
            <rFont val="Tahoma"/>
            <family val="2"/>
          </rPr>
          <t>EscolaresSIEA:</t>
        </r>
        <r>
          <rPr>
            <sz val="9"/>
            <color indexed="81"/>
            <rFont val="Tahoma"/>
            <family val="2"/>
          </rPr>
          <t xml:space="preserve">
SEP-DIC2021 (H:1387, M:1282)
ENE-ABR2022 (H:11, M:14)
MAY-AGO2022 (H:14, M: 9)
Total: 2717</t>
        </r>
      </text>
    </comment>
    <comment ref="C23" authorId="0" shapeId="0">
      <text>
        <r>
          <rPr>
            <b/>
            <sz val="9"/>
            <color indexed="81"/>
            <rFont val="Tahoma"/>
            <family val="2"/>
          </rPr>
          <t>EscolaresSIEA:</t>
        </r>
        <r>
          <rPr>
            <sz val="9"/>
            <color indexed="81"/>
            <rFont val="Tahoma"/>
            <family val="2"/>
          </rPr>
          <t xml:space="preserve">
SEP-DIC2021 = (H=380 , M=193)
ENE-ABR2022 = (H=159, M=82)
MAY-AGO2022 = (H= 162, M=87)
Total: 1063</t>
        </r>
      </text>
    </comment>
    <comment ref="B25" authorId="2" shapeId="0">
      <text>
        <r>
          <rPr>
            <b/>
            <sz val="9"/>
            <color indexed="81"/>
            <rFont val="Tahoma"/>
            <family val="2"/>
          </rPr>
          <t>PEI 2019-2024</t>
        </r>
        <r>
          <rPr>
            <sz val="9"/>
            <color indexed="81"/>
            <rFont val="Tahoma"/>
            <family val="2"/>
          </rPr>
          <t xml:space="preserve">
</t>
        </r>
      </text>
    </comment>
    <comment ref="B27" authorId="3" shapeId="0">
      <text>
        <r>
          <rPr>
            <b/>
            <sz val="9"/>
            <color indexed="81"/>
            <rFont val="Tahoma"/>
            <family val="2"/>
          </rPr>
          <t>PEI 2019-2024</t>
        </r>
      </text>
    </comment>
    <comment ref="C27" authorId="0" shapeId="0">
      <text>
        <r>
          <rPr>
            <b/>
            <sz val="9"/>
            <color indexed="81"/>
            <rFont val="Tahoma"/>
            <family val="2"/>
          </rPr>
          <t>EscolaresSIEA:</t>
        </r>
        <r>
          <rPr>
            <sz val="9"/>
            <color indexed="81"/>
            <rFont val="Tahoma"/>
            <family val="2"/>
          </rPr>
          <t xml:space="preserve">
SEP-DIC2021 (H:58, M:54)
ENE-ABR2022 (H: , M: )
MAY-AGO2022 (H: , M: )
TOTAL: 112</t>
        </r>
      </text>
    </comment>
    <comment ref="D49" authorId="4" shapeId="0">
      <text>
        <r>
          <rPr>
            <b/>
            <sz val="9"/>
            <color indexed="81"/>
            <rFont val="Tahoma"/>
            <family val="2"/>
          </rPr>
          <t>Incubadora:</t>
        </r>
        <r>
          <rPr>
            <sz val="9"/>
            <color indexed="81"/>
            <rFont val="Tahoma"/>
            <family val="2"/>
          </rPr>
          <t xml:space="preserve">
Se tiene dicho porcentaje por la pandemia COVID-19, donde muchos de los eventos y participaciones de vieron afectadas. Asimismo, que el departamento daba capacitaciones por parte del INADEM, dependencia que fue absorbida por la Unidad de Desarrollo Productivo (UDP) pero que retiró las capacitaciones que se hacían hacia los alumnos desde la Incubadora (Programa de Incubación en Línea).</t>
        </r>
      </text>
    </comment>
    <comment ref="D51" authorId="4" shapeId="0">
      <text>
        <r>
          <rPr>
            <b/>
            <sz val="9"/>
            <color indexed="81"/>
            <rFont val="Tahoma"/>
            <family val="2"/>
          </rPr>
          <t>Incubadora:</t>
        </r>
        <r>
          <rPr>
            <sz val="9"/>
            <color indexed="81"/>
            <rFont val="Tahoma"/>
            <family val="2"/>
          </rPr>
          <t xml:space="preserve">
Incubadora:
Se tiene dicho porcentaje por la pandemia COVID-19, donde muchos de los eventos y participaciones de vieron afectadas. Asimismo, que el departamento daba capacitaciones por parte del INADEM, dependencia que fue absorbida por la Unidad de Desarrollo Productivo (UDP) pero que retiró las capacitaciones que se hacían hacia los alumnos desde la Incubadora (Programa de Incubación en Línea).</t>
        </r>
      </text>
    </comment>
  </commentList>
</comments>
</file>

<file path=xl/comments3.xml><?xml version="1.0" encoding="utf-8"?>
<comments xmlns="http://schemas.openxmlformats.org/spreadsheetml/2006/main">
  <authors>
    <author>EscolaresSIEA</author>
    <author>Jesus Montes Rebolledo</author>
    <author>Usuario de Windows</author>
    <author>pc18dic@outlook.com</author>
  </authors>
  <commentList>
    <comment ref="C11" authorId="0" shapeId="0">
      <text>
        <r>
          <rPr>
            <b/>
            <sz val="9"/>
            <color indexed="81"/>
            <rFont val="Tahoma"/>
            <family val="2"/>
          </rPr>
          <t>EscolaresSIEA:</t>
        </r>
        <r>
          <rPr>
            <sz val="9"/>
            <color indexed="81"/>
            <rFont val="Tahoma"/>
            <family val="2"/>
          </rPr>
          <t xml:space="preserve">
SEP-DIC2021 = 0
ENE-ABR2022 = 0
MAY-AGO2022 = 1
Total: 1</t>
        </r>
      </text>
    </comment>
    <comment ref="C13" authorId="1" shapeId="0">
      <text>
        <r>
          <rPr>
            <b/>
            <sz val="9"/>
            <color indexed="81"/>
            <rFont val="Tahoma"/>
            <family val="2"/>
          </rPr>
          <t>EscolaresSIEA:</t>
        </r>
        <r>
          <rPr>
            <sz val="9"/>
            <color indexed="81"/>
            <rFont val="Tahoma"/>
            <family val="2"/>
          </rPr>
          <t xml:space="preserve">
SEP-DIC2021 = 467 
ENE-ABR2022 = 209
MAY-AGO2022 = 86
Total: 762</t>
        </r>
      </text>
    </comment>
    <comment ref="C14" authorId="1" shapeId="0">
      <text>
        <r>
          <rPr>
            <b/>
            <sz val="9"/>
            <color indexed="81"/>
            <rFont val="Tahoma"/>
            <family val="2"/>
          </rPr>
          <t>EscolaresSIEA:</t>
        </r>
        <r>
          <rPr>
            <sz val="9"/>
            <color indexed="81"/>
            <rFont val="Tahoma"/>
            <family val="2"/>
          </rPr>
          <t xml:space="preserve">
SEP-DIC2021 = 14,095
ENE-ABR2022 = 7,408
MAY-AGO2022 = 6,352
Total: 27,855</t>
        </r>
      </text>
    </comment>
    <comment ref="C15" authorId="0" shapeId="0">
      <text>
        <r>
          <rPr>
            <b/>
            <sz val="9"/>
            <color indexed="81"/>
            <rFont val="Tahoma"/>
            <family val="2"/>
          </rPr>
          <t>SES Tit 01:</t>
        </r>
        <r>
          <rPr>
            <sz val="9"/>
            <color indexed="81"/>
            <rFont val="Tahoma"/>
            <family val="2"/>
          </rPr>
          <t xml:space="preserve">
EGRESADOS DE LA COHORTE ENERO-ABRIL 2022: 967</t>
        </r>
      </text>
    </comment>
    <comment ref="C16" authorId="0" shapeId="0">
      <text>
        <r>
          <rPr>
            <b/>
            <sz val="9"/>
            <color indexed="81"/>
            <rFont val="Tahoma"/>
            <family val="2"/>
          </rPr>
          <t>Titulación:</t>
        </r>
        <r>
          <rPr>
            <sz val="9"/>
            <color indexed="81"/>
            <rFont val="Tahoma"/>
            <family val="2"/>
          </rPr>
          <t xml:space="preserve">
NUEVO INGRESO ING-LIC
Sep-Dic 2020 Escolarizado: 1127</t>
        </r>
      </text>
    </comment>
    <comment ref="C17" authorId="0" shapeId="0">
      <text>
        <r>
          <rPr>
            <b/>
            <sz val="9"/>
            <color indexed="81"/>
            <rFont val="Tahoma"/>
            <family val="2"/>
          </rPr>
          <t>Titulación:</t>
        </r>
        <r>
          <rPr>
            <sz val="9"/>
            <color indexed="81"/>
            <rFont val="Tahoma"/>
            <family val="2"/>
          </rPr>
          <t xml:space="preserve">
EGRESADOS
SEP-DIC 2021: 5
ENE-ABR 2022: 985
MAY-AGO 2022: 24
TOTAL: 1014</t>
        </r>
      </text>
    </comment>
    <comment ref="C18" authorId="0" shapeId="0">
      <text>
        <r>
          <rPr>
            <b/>
            <sz val="9"/>
            <color indexed="81"/>
            <rFont val="Tahoma"/>
            <family val="2"/>
          </rPr>
          <t>Titulación:</t>
        </r>
        <r>
          <rPr>
            <sz val="9"/>
            <color indexed="81"/>
            <rFont val="Tahoma"/>
            <family val="2"/>
          </rPr>
          <t xml:space="preserve">
TITULADOS
SEP-DIC 2021: 5
ENE-ABR 2022: 985
MAY-AGO 2022: 24
TOTAL: 1014</t>
        </r>
      </text>
    </comment>
    <comment ref="C19" authorId="0" shapeId="0">
      <text>
        <r>
          <rPr>
            <b/>
            <sz val="9"/>
            <color indexed="81"/>
            <rFont val="Tahoma"/>
            <family val="2"/>
          </rPr>
          <t>Titulación:</t>
        </r>
        <r>
          <rPr>
            <sz val="9"/>
            <color indexed="81"/>
            <rFont val="Tahoma"/>
            <family val="2"/>
          </rPr>
          <t xml:space="preserve">
ESTADIAS LIBERADAS
SEP-DIC 2021: 5
ENE-ABR 2022: 985
MAY-AGO 2022: 24
TOTAL: 1014</t>
        </r>
      </text>
    </comment>
    <comment ref="C20" authorId="0" shapeId="0">
      <text>
        <r>
          <rPr>
            <b/>
            <sz val="9"/>
            <color indexed="81"/>
            <rFont val="Tahoma"/>
            <family val="2"/>
          </rPr>
          <t>Titulación:</t>
        </r>
        <r>
          <rPr>
            <sz val="9"/>
            <color indexed="81"/>
            <rFont val="Tahoma"/>
            <family val="2"/>
          </rPr>
          <t xml:space="preserve">
MATRICULA ESTADIA
SEP-DIC 2021: 10
ENE-ABR 2022: 1047
MAY-AGO 2022: 25
TOTAL: 1082</t>
        </r>
      </text>
    </comment>
    <comment ref="C21" authorId="1" shapeId="0">
      <text>
        <r>
          <rPr>
            <b/>
            <sz val="9"/>
            <color indexed="81"/>
            <rFont val="Tahoma"/>
            <family val="2"/>
          </rPr>
          <t>EscolaresSIEA:</t>
        </r>
        <r>
          <rPr>
            <sz val="9"/>
            <color indexed="81"/>
            <rFont val="Tahoma"/>
            <family val="2"/>
          </rPr>
          <t xml:space="preserve">
SEP-DIC2021 (H:966, M:898)
ENE-ABR2022 (H:6, M:6)
MAY-AGO2022 (H: 8, M: 7)
Total: 1891</t>
        </r>
      </text>
    </comment>
    <comment ref="C23" authorId="0" shapeId="0">
      <text>
        <r>
          <rPr>
            <b/>
            <sz val="9"/>
            <color indexed="81"/>
            <rFont val="Tahoma"/>
            <family val="2"/>
          </rPr>
          <t>EscolaresSIEA:</t>
        </r>
        <r>
          <rPr>
            <sz val="9"/>
            <color indexed="81"/>
            <rFont val="Tahoma"/>
            <family val="2"/>
          </rPr>
          <t xml:space="preserve">
SEP-DIC2021 = (H=94 , M=34)
ENE-ABR2022 = (H=79, M=30)
MAY-AGO2022 = (H= 13, M= 8)
Total: 258</t>
        </r>
      </text>
    </comment>
    <comment ref="B25" authorId="2" shapeId="0">
      <text>
        <r>
          <rPr>
            <b/>
            <sz val="9"/>
            <color indexed="81"/>
            <rFont val="Tahoma"/>
            <family val="2"/>
          </rPr>
          <t>PEI 2019-2024</t>
        </r>
      </text>
    </comment>
    <comment ref="B27" authorId="3" shapeId="0">
      <text>
        <r>
          <rPr>
            <b/>
            <sz val="9"/>
            <color indexed="81"/>
            <rFont val="Tahoma"/>
            <family val="2"/>
          </rPr>
          <t>PEI 2019-2024</t>
        </r>
      </text>
    </comment>
    <comment ref="C27" authorId="0" shapeId="0">
      <text>
        <r>
          <rPr>
            <b/>
            <sz val="9"/>
            <color indexed="81"/>
            <rFont val="Tahoma"/>
            <family val="2"/>
          </rPr>
          <t>EscolaresSIEA:</t>
        </r>
        <r>
          <rPr>
            <sz val="9"/>
            <color indexed="81"/>
            <rFont val="Tahoma"/>
            <family val="2"/>
          </rPr>
          <t xml:space="preserve">
SEP-DIC2021 (H:85, M:65)
ENE-ABR2022 (H: , M: )
MAY-AGO2022 (H: , M: )
TOTAL: 150</t>
        </r>
      </text>
    </comment>
  </commentList>
</comments>
</file>

<file path=xl/comments4.xml><?xml version="1.0" encoding="utf-8"?>
<comments xmlns="http://schemas.openxmlformats.org/spreadsheetml/2006/main">
  <authors>
    <author>Jesus Montes Rebolledo</author>
    <author>EscolaresSIEA</author>
    <author>pc18dic@outlook.com</author>
    <author>martha</author>
    <author>Usuario de Windows</author>
    <author>Cedesoft10</author>
  </authors>
  <commentList>
    <comment ref="C11" authorId="0" shapeId="0">
      <text>
        <r>
          <rPr>
            <b/>
            <sz val="9"/>
            <color indexed="81"/>
            <rFont val="Tahoma"/>
            <family val="2"/>
          </rPr>
          <t>Jesus Montes Rebolledo:</t>
        </r>
        <r>
          <rPr>
            <sz val="9"/>
            <color indexed="81"/>
            <rFont val="Tahoma"/>
            <family val="2"/>
          </rPr>
          <t xml:space="preserve">
Ciclo 2020-2021
SEP-DIC2020 = 23 (H=8, M=15)
ENE-ABR2021 = 6 (H=3, M=3)
MAY-AGO2021 = 7 (H=3, M=4)
TOTAL = 36</t>
        </r>
      </text>
    </comment>
    <comment ref="C12" authorId="0" shapeId="0">
      <text>
        <r>
          <rPr>
            <b/>
            <sz val="9"/>
            <color indexed="81"/>
            <rFont val="Tahoma"/>
            <family val="2"/>
          </rPr>
          <t xml:space="preserve">Jesus Montes Rebolledo:
</t>
        </r>
        <r>
          <rPr>
            <sz val="9"/>
            <color indexed="81"/>
            <rFont val="Tahoma"/>
            <family val="2"/>
          </rPr>
          <t xml:space="preserve">
Cciclo 2020-2021
Matricula Inicial=3826
(H=2202, M=1624)</t>
        </r>
      </text>
    </comment>
    <comment ref="C13" authorId="0" shapeId="0">
      <text>
        <r>
          <rPr>
            <b/>
            <sz val="9"/>
            <color indexed="81"/>
            <rFont val="Tahoma"/>
            <family val="2"/>
          </rPr>
          <t>Jesus Montes Rebolledo:</t>
        </r>
        <r>
          <rPr>
            <sz val="9"/>
            <color indexed="81"/>
            <rFont val="Tahoma"/>
            <family val="2"/>
          </rPr>
          <t xml:space="preserve">
Ciclo 2020-2021
SEP-DIC2020 = 2579
ENE-ABR2021 = 1314
MAY-AGO2021 = 794
TOTAL = 4,687</t>
        </r>
      </text>
    </comment>
    <comment ref="C14" authorId="0" shapeId="0">
      <text>
        <r>
          <rPr>
            <b/>
            <sz val="9"/>
            <color indexed="81"/>
            <rFont val="Tahoma"/>
            <family val="2"/>
          </rPr>
          <t>Jesus Montes Rebolledo:</t>
        </r>
        <r>
          <rPr>
            <sz val="9"/>
            <color indexed="81"/>
            <rFont val="Tahoma"/>
            <family val="2"/>
          </rPr>
          <t xml:space="preserve">
Ciclo 2020-2021
SEP-DIC2020 = 25,504
ENE-ABR2021 = 23,386 
MAY-AGO2021 = 13,369
TOTAL = 62,259</t>
        </r>
      </text>
    </comment>
    <comment ref="C15" authorId="1" shapeId="0">
      <text>
        <r>
          <rPr>
            <b/>
            <sz val="9"/>
            <color indexed="81"/>
            <rFont val="Tahoma"/>
            <family val="2"/>
          </rPr>
          <t>Titulación:</t>
        </r>
        <r>
          <rPr>
            <sz val="9"/>
            <color indexed="81"/>
            <rFont val="Tahoma"/>
            <family val="2"/>
          </rPr>
          <t xml:space="preserve">
EGRESADOS DE LA COHORTE
MAY-AGO 2021: 1187</t>
        </r>
      </text>
    </comment>
    <comment ref="C16" authorId="1" shapeId="0">
      <text>
        <r>
          <rPr>
            <b/>
            <sz val="9"/>
            <color indexed="81"/>
            <rFont val="Tahoma"/>
            <family val="2"/>
          </rPr>
          <t>Titulación:</t>
        </r>
        <r>
          <rPr>
            <sz val="9"/>
            <color indexed="81"/>
            <rFont val="Tahoma"/>
            <family val="2"/>
          </rPr>
          <t xml:space="preserve">
NUEVO INGRESO TSU
Sep-Dic 2019 Escolarizado: 1233
Sep-Dic 2018 Despresurizado: 826
Total: 2059</t>
        </r>
      </text>
    </comment>
    <comment ref="C17" authorId="1" shapeId="0">
      <text>
        <r>
          <rPr>
            <b/>
            <sz val="9"/>
            <color indexed="81"/>
            <rFont val="Tahoma"/>
            <family val="2"/>
          </rPr>
          <t>Titulación:</t>
        </r>
        <r>
          <rPr>
            <sz val="9"/>
            <color indexed="81"/>
            <rFont val="Tahoma"/>
            <family val="2"/>
          </rPr>
          <t xml:space="preserve">
EGRESADOS
SEP-DIC 2020: 11
ENE-ABR 2021: 3
MAY-AGO 2021:1269
TOTAL: 1283</t>
        </r>
      </text>
    </comment>
    <comment ref="C18" authorId="1" shapeId="0">
      <text>
        <r>
          <rPr>
            <b/>
            <sz val="9"/>
            <color indexed="81"/>
            <rFont val="Tahoma"/>
            <family val="2"/>
          </rPr>
          <t>Titulación:</t>
        </r>
        <r>
          <rPr>
            <sz val="9"/>
            <color indexed="81"/>
            <rFont val="Tahoma"/>
            <family val="2"/>
          </rPr>
          <t xml:space="preserve">
TITULADOS
SEP-DIC 2020: 11
ENE-ABR 2021: 3
MAY-AGO 2021:1269
TOTAL: 1283</t>
        </r>
      </text>
    </comment>
    <comment ref="C19" authorId="1" shapeId="0">
      <text>
        <r>
          <rPr>
            <b/>
            <sz val="9"/>
            <color indexed="81"/>
            <rFont val="Tahoma"/>
            <family val="2"/>
          </rPr>
          <t>Titulación:</t>
        </r>
        <r>
          <rPr>
            <sz val="9"/>
            <color indexed="81"/>
            <rFont val="Tahoma"/>
            <family val="2"/>
          </rPr>
          <t xml:space="preserve">
ESTADIAS LIBERADAS
SEP-DIC 2020: 11
ENE-ABR 2021: 3
MAY-AGO 2021:1269
TOTAL: 1283</t>
        </r>
      </text>
    </comment>
    <comment ref="C20" authorId="1" shapeId="0">
      <text>
        <r>
          <rPr>
            <b/>
            <sz val="9"/>
            <color indexed="81"/>
            <rFont val="Tahoma"/>
            <family val="2"/>
          </rPr>
          <t xml:space="preserve">Titulación:
</t>
        </r>
        <r>
          <rPr>
            <sz val="9"/>
            <color indexed="81"/>
            <rFont val="Tahoma"/>
            <family val="2"/>
          </rPr>
          <t>MATRICULA ESTADIA
SEP-DIC 2020: 17
ENE-ABR 2021: 9
MAY-AGO 2021: 1364
TOTAL: 1390</t>
        </r>
      </text>
    </comment>
    <comment ref="C21" authorId="0" shapeId="0">
      <text>
        <r>
          <rPr>
            <b/>
            <sz val="9"/>
            <color indexed="81"/>
            <rFont val="Tahoma"/>
            <family val="2"/>
          </rPr>
          <t>Jesus Montes Rebolledo:</t>
        </r>
        <r>
          <rPr>
            <sz val="9"/>
            <color indexed="81"/>
            <rFont val="Tahoma"/>
            <family val="2"/>
          </rPr>
          <t xml:space="preserve">
Ciclo 2020-2021
SEP-DIC2020 = 1975 (H=1204, M=771)
ENE-ABR2021 = 448 (H=144, M=304) 
MAY-AGO2021 = 28 (H=15, M=13)
TOTAL =2451</t>
        </r>
      </text>
    </comment>
    <comment ref="C22" authorId="0" shapeId="0">
      <text>
        <r>
          <rPr>
            <b/>
            <sz val="9"/>
            <color indexed="81"/>
            <rFont val="Tahoma"/>
            <family val="2"/>
          </rPr>
          <t>Jesus Montes Rebolledo:</t>
        </r>
        <r>
          <rPr>
            <sz val="9"/>
            <color indexed="81"/>
            <rFont val="Tahoma"/>
            <family val="2"/>
          </rPr>
          <t xml:space="preserve">
Cciclo 2020-2021
Matricula Inicial=3826
(H=2202, M=1624)</t>
        </r>
      </text>
    </comment>
    <comment ref="C23" authorId="0" shapeId="0">
      <text>
        <r>
          <rPr>
            <b/>
            <sz val="9"/>
            <color indexed="81"/>
            <rFont val="Tahoma"/>
            <family val="2"/>
          </rPr>
          <t>Jesus Montes Rebolledo:</t>
        </r>
        <r>
          <rPr>
            <sz val="9"/>
            <color indexed="81"/>
            <rFont val="Tahoma"/>
            <family val="2"/>
          </rPr>
          <t xml:space="preserve">
Ciclo 2020-2021
SEP-DIC2020 = 507 (H=342, M=165)
ENE-ABR2021 = 274 (H=188, M=86) 
MAY-AGO2021 = 220 (H=152, M=68)
TOTAL = 1001</t>
        </r>
      </text>
    </comment>
    <comment ref="C24" authorId="0" shapeId="0">
      <text>
        <r>
          <rPr>
            <b/>
            <sz val="9"/>
            <color indexed="81"/>
            <rFont val="Tahoma"/>
            <family val="2"/>
          </rPr>
          <t>Jesus Montes Rebolledo:</t>
        </r>
        <r>
          <rPr>
            <sz val="9"/>
            <color indexed="81"/>
            <rFont val="Tahoma"/>
            <family val="2"/>
          </rPr>
          <t xml:space="preserve">
Cciclo 2020-2021
Matricula Inicial=3826
(H=2202, M=1624)</t>
        </r>
      </text>
    </comment>
    <comment ref="B27" authorId="2" shapeId="0">
      <text>
        <r>
          <rPr>
            <b/>
            <sz val="9"/>
            <color indexed="81"/>
            <rFont val="Tahoma"/>
            <family val="2"/>
          </rPr>
          <t>PEI 2019-2024</t>
        </r>
      </text>
    </comment>
    <comment ref="C27" authorId="0" shapeId="0">
      <text>
        <r>
          <rPr>
            <b/>
            <sz val="9"/>
            <color indexed="81"/>
            <rFont val="Tahoma"/>
            <family val="2"/>
          </rPr>
          <t>Jesus Montes Rebolledo:</t>
        </r>
        <r>
          <rPr>
            <sz val="9"/>
            <color indexed="81"/>
            <rFont val="Tahoma"/>
            <family val="2"/>
          </rPr>
          <t xml:space="preserve">
Ciclo 2020-2021
SEP-DIC2020 = 204 (H=125, M=79)
ENE-ABR2021 = 
MAY-AGO2021 =
TOTAL = 204</t>
        </r>
      </text>
    </comment>
    <comment ref="C28" authorId="0" shapeId="0">
      <text>
        <r>
          <rPr>
            <b/>
            <sz val="9"/>
            <color indexed="81"/>
            <rFont val="Tahoma"/>
            <family val="2"/>
          </rPr>
          <t>Jesus Montes Rebolledo:</t>
        </r>
        <r>
          <rPr>
            <sz val="9"/>
            <color indexed="81"/>
            <rFont val="Tahoma"/>
            <family val="2"/>
          </rPr>
          <t xml:space="preserve">
Cciclo 2020-2021
Matricula Inicial=3826
(H=2202, M=1624)</t>
        </r>
      </text>
    </comment>
    <comment ref="D49" authorId="3" shapeId="0">
      <text>
        <r>
          <rPr>
            <b/>
            <sz val="9"/>
            <color indexed="81"/>
            <rFont val="Tahoma"/>
            <family val="2"/>
          </rPr>
          <t>Incubadora:</t>
        </r>
        <r>
          <rPr>
            <sz val="9"/>
            <color indexed="81"/>
            <rFont val="Tahoma"/>
            <family val="2"/>
          </rPr>
          <t xml:space="preserve">
Se tiene dicho porcentaje por la pandemia COVID-19, donde muchos de los eventos y participaciones de vieron afectadas. Asimismo, que el departamento daba capacitaciones por parte del INADEM, dependencia que fue absorbida por la Unidad de Desarrollo Productivo (UDP) pero que retiró las capacitaciones que se hacían hacia los alumnos desde la Incubadora (Programa de Incubación en Línea).</t>
        </r>
      </text>
    </comment>
    <comment ref="D51" authorId="3" shapeId="0">
      <text>
        <r>
          <rPr>
            <b/>
            <sz val="9"/>
            <color indexed="81"/>
            <rFont val="Tahoma"/>
            <family val="2"/>
          </rPr>
          <t>Incubadora:</t>
        </r>
        <r>
          <rPr>
            <sz val="9"/>
            <color indexed="81"/>
            <rFont val="Tahoma"/>
            <family val="2"/>
          </rPr>
          <t xml:space="preserve">
Incubadora:
Se tiene dicho porcentaje por la pandemia COVID-19, donde muchos de los eventos y participaciones de vieron afectadas. Asimismo, que el departamento daba capacitaciones por parte del INADEM, dependencia que fue absorbida por la Unidad de Desarrollo Productivo (UDP) pero que retiró las capacitaciones que se hacían hacia los alumnos desde la Incubadora (Programa de Incubación en Línea).</t>
        </r>
      </text>
    </comment>
    <comment ref="C54" authorId="4" shapeId="0">
      <text>
        <r>
          <rPr>
            <b/>
            <sz val="9"/>
            <color indexed="81"/>
            <rFont val="Tahoma"/>
            <family val="2"/>
          </rPr>
          <t>Egresados=14
Sep-Dic 2020=11
Ene-Abr 2021= 3</t>
        </r>
      </text>
    </comment>
    <comment ref="C68" authorId="5" shapeId="0">
      <text>
        <r>
          <rPr>
            <b/>
            <sz val="9"/>
            <color indexed="81"/>
            <rFont val="Tahoma"/>
            <family val="2"/>
          </rPr>
          <t>Egresados en el ciclo escolar 2016-2017, en la zona de influencia de la UTCV (dato proporcionado por el Lic. José Luiz López Zurutuza-DET).</t>
        </r>
      </text>
    </comment>
  </commentList>
</comments>
</file>

<file path=xl/comments5.xml><?xml version="1.0" encoding="utf-8"?>
<comments xmlns="http://schemas.openxmlformats.org/spreadsheetml/2006/main">
  <authors>
    <author>Jesus Montes Rebolledo</author>
    <author>EscolaresSIEA</author>
    <author>pc18dic@outlook.com</author>
    <author>Usuario de Windows</author>
    <author>Cedesoft10</author>
  </authors>
  <commentList>
    <comment ref="C11" authorId="0" shapeId="0">
      <text>
        <r>
          <rPr>
            <b/>
            <sz val="9"/>
            <color indexed="81"/>
            <rFont val="Tahoma"/>
            <family val="2"/>
          </rPr>
          <t>Jesus Montes Rebolledo:</t>
        </r>
        <r>
          <rPr>
            <sz val="9"/>
            <color indexed="81"/>
            <rFont val="Tahoma"/>
            <family val="2"/>
          </rPr>
          <t xml:space="preserve">
Ciclo 2020-2021
SEP-DIC2020 = 0 (H=0, M=0)
ENE-ABR2021 = 0 (H=0, M=0)
MAY-AGO2021 = 0 (H=0, M=0)
TOTAL = 0</t>
        </r>
      </text>
    </comment>
    <comment ref="C12" authorId="0" shapeId="0">
      <text>
        <r>
          <rPr>
            <b/>
            <sz val="9"/>
            <color indexed="81"/>
            <rFont val="Tahoma"/>
            <family val="2"/>
          </rPr>
          <t>Jesus Montes Rebolledo:</t>
        </r>
        <r>
          <rPr>
            <sz val="9"/>
            <color indexed="81"/>
            <rFont val="Tahoma"/>
            <family val="2"/>
          </rPr>
          <t xml:space="preserve">
Ciclo 2020-2021
Matricula Inicial=2134
(H=1177, M=957)</t>
        </r>
      </text>
    </comment>
    <comment ref="C13" authorId="0" shapeId="0">
      <text>
        <r>
          <rPr>
            <b/>
            <sz val="9"/>
            <color indexed="81"/>
            <rFont val="Tahoma"/>
            <family val="2"/>
          </rPr>
          <t>Jesus Montes Rebolledo:</t>
        </r>
        <r>
          <rPr>
            <sz val="9"/>
            <color indexed="81"/>
            <rFont val="Tahoma"/>
            <family val="2"/>
          </rPr>
          <t xml:space="preserve">
Ciclo 2020-2021
SEP-DIC2020 = 182
ENE-ABR2021 = 116
MAY-AGO2021 = 66
TOTAL = 364</t>
        </r>
      </text>
    </comment>
    <comment ref="C14" authorId="0" shapeId="0">
      <text>
        <r>
          <rPr>
            <b/>
            <sz val="9"/>
            <color indexed="81"/>
            <rFont val="Tahoma"/>
            <family val="2"/>
          </rPr>
          <t>Jesus Montes Rebolledo:</t>
        </r>
        <r>
          <rPr>
            <sz val="9"/>
            <color indexed="81"/>
            <rFont val="Tahoma"/>
            <family val="2"/>
          </rPr>
          <t xml:space="preserve">
Ciclo 2020-2021
SEP-DIC2020 = 13,317
ENE-ABR2021 = 7,403
MAY-AGO2021 = 6,483
TOTAL = 27,203</t>
        </r>
      </text>
    </comment>
    <comment ref="C15" authorId="1" shapeId="0">
      <text>
        <r>
          <rPr>
            <b/>
            <sz val="9"/>
            <color indexed="81"/>
            <rFont val="Tahoma"/>
            <family val="2"/>
          </rPr>
          <t>Titulación:</t>
        </r>
        <r>
          <rPr>
            <sz val="9"/>
            <color indexed="81"/>
            <rFont val="Tahoma"/>
            <family val="2"/>
          </rPr>
          <t xml:space="preserve">
EGRESADOS DE LA COHORTE ENERO-ABRIL 2021: 893</t>
        </r>
      </text>
    </comment>
    <comment ref="C16" authorId="1" shapeId="0">
      <text>
        <r>
          <rPr>
            <b/>
            <sz val="9"/>
            <color indexed="81"/>
            <rFont val="Tahoma"/>
            <family val="2"/>
          </rPr>
          <t>Titulación:</t>
        </r>
        <r>
          <rPr>
            <sz val="9"/>
            <color indexed="81"/>
            <rFont val="Tahoma"/>
            <family val="2"/>
          </rPr>
          <t xml:space="preserve">
NUEVO INGRESO ING-LIC
Sep-Dic 2019 Escolarizado: 1033</t>
        </r>
      </text>
    </comment>
    <comment ref="C17" authorId="1" shapeId="0">
      <text>
        <r>
          <rPr>
            <b/>
            <sz val="9"/>
            <color indexed="81"/>
            <rFont val="Tahoma"/>
            <family val="2"/>
          </rPr>
          <t>Titulación:</t>
        </r>
        <r>
          <rPr>
            <sz val="9"/>
            <color indexed="81"/>
            <rFont val="Tahoma"/>
            <family val="2"/>
          </rPr>
          <t xml:space="preserve">
EGRESADOS
SEP-DIC 2020: 10
ENE-ABR 2021: 926
MAY-AGO 2021: 24
TOTAL: 960</t>
        </r>
      </text>
    </comment>
    <comment ref="C18" authorId="1" shapeId="0">
      <text>
        <r>
          <rPr>
            <b/>
            <sz val="9"/>
            <color indexed="81"/>
            <rFont val="Tahoma"/>
            <family val="2"/>
          </rPr>
          <t>Titulación:</t>
        </r>
        <r>
          <rPr>
            <sz val="9"/>
            <color indexed="81"/>
            <rFont val="Tahoma"/>
            <family val="2"/>
          </rPr>
          <t xml:space="preserve">
TITULADOS
SEP-DIC 2020: 10
ENE-ABR 2021: 926
MAY-AGO 2021: 24
TOTAL: 960</t>
        </r>
      </text>
    </comment>
    <comment ref="C19" authorId="1" shapeId="0">
      <text>
        <r>
          <rPr>
            <b/>
            <sz val="9"/>
            <color indexed="81"/>
            <rFont val="Tahoma"/>
            <family val="2"/>
          </rPr>
          <t>Titulación:</t>
        </r>
        <r>
          <rPr>
            <sz val="9"/>
            <color indexed="81"/>
            <rFont val="Tahoma"/>
            <family val="2"/>
          </rPr>
          <t xml:space="preserve">
ESTADIAS LIBERADAS
SEP-DIC 2020: 10
ENE-ABR 2021: 926
MAY-AGO 2021: 24
TOTAL: 960</t>
        </r>
      </text>
    </comment>
    <comment ref="C20" authorId="1" shapeId="0">
      <text>
        <r>
          <rPr>
            <b/>
            <sz val="9"/>
            <color indexed="81"/>
            <rFont val="Tahoma"/>
            <family val="2"/>
          </rPr>
          <t>Titulación:</t>
        </r>
        <r>
          <rPr>
            <sz val="9"/>
            <color indexed="81"/>
            <rFont val="Tahoma"/>
            <family val="2"/>
          </rPr>
          <t xml:space="preserve">
MATRICULA ESTADIA
SEP-DIC 2020: 13
ENE-ABR 2021: 976
MAY-AGO 2021: 28
TOTAL: 1017</t>
        </r>
      </text>
    </comment>
    <comment ref="C21" authorId="0" shapeId="0">
      <text>
        <r>
          <rPr>
            <b/>
            <sz val="9"/>
            <color indexed="81"/>
            <rFont val="Tahoma"/>
            <family val="2"/>
          </rPr>
          <t>Jesus Montes Rebolledo:</t>
        </r>
        <r>
          <rPr>
            <sz val="9"/>
            <color indexed="81"/>
            <rFont val="Tahoma"/>
            <family val="2"/>
          </rPr>
          <t xml:space="preserve">
Ciclo 2020-2021
SEP-DIC2020 = 1417 (H=759, M=658)
ENE-ABR2021 = 96 (H=37, M=59)
MAY-AGO2021 = 6 (H=1, M=5)
TOTAL = 1519</t>
        </r>
      </text>
    </comment>
    <comment ref="C22" authorId="0" shapeId="0">
      <text>
        <r>
          <rPr>
            <b/>
            <sz val="9"/>
            <color indexed="81"/>
            <rFont val="Tahoma"/>
            <family val="2"/>
          </rPr>
          <t>Jesus Montes Rebolledo:</t>
        </r>
        <r>
          <rPr>
            <sz val="9"/>
            <color indexed="81"/>
            <rFont val="Tahoma"/>
            <family val="2"/>
          </rPr>
          <t xml:space="preserve">
Ciclo 2020-2021
Matricula Inicial=2134
(H=1177, M=957)</t>
        </r>
      </text>
    </comment>
    <comment ref="C23" authorId="0" shapeId="0">
      <text>
        <r>
          <rPr>
            <b/>
            <sz val="9"/>
            <color indexed="81"/>
            <rFont val="Tahoma"/>
            <family val="2"/>
          </rPr>
          <t>Jesus Montes Rebolledo:</t>
        </r>
        <r>
          <rPr>
            <sz val="9"/>
            <color indexed="81"/>
            <rFont val="Tahoma"/>
            <family val="2"/>
          </rPr>
          <t xml:space="preserve">
Ciclo 2020-2021
SEP-DIC2020 = 61 (H=39, M=22)
ENE-ABR2021 = 59 (H=43, M=16)
MAY-AGO2021 =18 (H=12, M=6)
TOTAL = 138</t>
        </r>
      </text>
    </comment>
    <comment ref="C24" authorId="0" shapeId="0">
      <text>
        <r>
          <rPr>
            <b/>
            <sz val="9"/>
            <color indexed="81"/>
            <rFont val="Tahoma"/>
            <family val="2"/>
          </rPr>
          <t>Jesus Montes Rebolledo:</t>
        </r>
        <r>
          <rPr>
            <sz val="9"/>
            <color indexed="81"/>
            <rFont val="Tahoma"/>
            <family val="2"/>
          </rPr>
          <t xml:space="preserve">
Ciclo 2020-2021
Matricula Inicial=2134
(H=1177, M=957)</t>
        </r>
      </text>
    </comment>
    <comment ref="B27" authorId="2" shapeId="0">
      <text>
        <r>
          <rPr>
            <b/>
            <sz val="9"/>
            <color indexed="81"/>
            <rFont val="Tahoma"/>
            <family val="2"/>
          </rPr>
          <t>PEI 2019-2024</t>
        </r>
      </text>
    </comment>
    <comment ref="C27" authorId="0" shapeId="0">
      <text>
        <r>
          <rPr>
            <b/>
            <sz val="9"/>
            <color indexed="81"/>
            <rFont val="Tahoma"/>
            <family val="2"/>
          </rPr>
          <t>Jesus Montes Rebolledo:</t>
        </r>
        <r>
          <rPr>
            <sz val="9"/>
            <color indexed="81"/>
            <rFont val="Tahoma"/>
            <family val="2"/>
          </rPr>
          <t xml:space="preserve">
Ciclo 2020-2021
SEP-DIC2020 = 84 (H=43, M=41)
ENE-ABR2021 = 
MAY-AGO2021 =
TOTAL = 84</t>
        </r>
      </text>
    </comment>
    <comment ref="C28" authorId="0" shapeId="0">
      <text>
        <r>
          <rPr>
            <b/>
            <sz val="9"/>
            <color indexed="81"/>
            <rFont val="Tahoma"/>
            <family val="2"/>
          </rPr>
          <t>Jesus Montes Rebolledo:</t>
        </r>
        <r>
          <rPr>
            <sz val="9"/>
            <color indexed="81"/>
            <rFont val="Tahoma"/>
            <family val="2"/>
          </rPr>
          <t xml:space="preserve">
Ciclo 2020-2021
Matricula Inicial=2134
(H=1177, M=957)</t>
        </r>
      </text>
    </comment>
    <comment ref="C54" authorId="3" shapeId="0">
      <text>
        <r>
          <rPr>
            <b/>
            <sz val="9"/>
            <color indexed="81"/>
            <rFont val="Tahoma"/>
            <family val="2"/>
          </rPr>
          <t>Egresados=936
Sep-Dic 2020=10
Ene-Abr 2021=926</t>
        </r>
      </text>
    </comment>
    <comment ref="C68" authorId="4" shapeId="0">
      <text>
        <r>
          <rPr>
            <b/>
            <sz val="9"/>
            <color indexed="81"/>
            <rFont val="Tahoma"/>
            <family val="2"/>
          </rPr>
          <t>Egresados en el ciclo escolar 2016-2017, en la zona de influencia de la UTCV (dato proporcionado por el Lic. José Luiz López Zurutuza-DET).</t>
        </r>
      </text>
    </comment>
  </commentList>
</comments>
</file>

<file path=xl/comments6.xml><?xml version="1.0" encoding="utf-8"?>
<comments xmlns="http://schemas.openxmlformats.org/spreadsheetml/2006/main">
  <authors>
    <author>EscolaresSIEA</author>
  </authors>
  <commentList>
    <comment ref="C11" authorId="0" shapeId="0">
      <text>
        <r>
          <rPr>
            <b/>
            <sz val="9"/>
            <color indexed="81"/>
            <rFont val="Tahoma"/>
            <family val="2"/>
          </rPr>
          <t>EscolaresSIEA:</t>
        </r>
        <r>
          <rPr>
            <sz val="9"/>
            <color indexed="81"/>
            <rFont val="Tahoma"/>
            <family val="2"/>
          </rPr>
          <t xml:space="preserve">
Sep-Dic2022 = (H=0 ,M=0)
Ene-Abr2023= (H= ,M=)
May-Ago2023= (H= ,M=)
Total=0</t>
        </r>
      </text>
    </comment>
    <comment ref="C13" authorId="0" shapeId="0">
      <text>
        <r>
          <rPr>
            <b/>
            <sz val="9"/>
            <color indexed="81"/>
            <rFont val="Tahoma"/>
            <family val="2"/>
          </rPr>
          <t>EscolaresSIEA:</t>
        </r>
        <r>
          <rPr>
            <sz val="9"/>
            <color indexed="81"/>
            <rFont val="Tahoma"/>
            <family val="2"/>
          </rPr>
          <t xml:space="preserve">
Sep-Dic2022 = 245
Ene-Abr2023= 
May-Ago2023=
Total=245</t>
        </r>
      </text>
    </comment>
    <comment ref="C15" authorId="0" shapeId="0">
      <text>
        <r>
          <rPr>
            <b/>
            <sz val="9"/>
            <color indexed="81"/>
            <rFont val="Tahoma"/>
            <family val="2"/>
          </rPr>
          <t>SES Tit 01:</t>
        </r>
        <r>
          <rPr>
            <sz val="9"/>
            <color indexed="81"/>
            <rFont val="Tahoma"/>
            <family val="2"/>
          </rPr>
          <t xml:space="preserve">
EGRESADOS DE LA COHORTE ENERO-ABRIL 2023: 968</t>
        </r>
      </text>
    </comment>
    <comment ref="C16" authorId="0" shapeId="0">
      <text>
        <r>
          <rPr>
            <b/>
            <sz val="9"/>
            <color indexed="81"/>
            <rFont val="Tahoma"/>
            <family val="2"/>
          </rPr>
          <t>SES Tit 01:</t>
        </r>
        <r>
          <rPr>
            <sz val="9"/>
            <color indexed="81"/>
            <rFont val="Tahoma"/>
            <family val="2"/>
          </rPr>
          <t xml:space="preserve">
NUEVO INGRESO ING-LIC
Sep-Dic 2021 Escolarizado: 1166</t>
        </r>
      </text>
    </comment>
    <comment ref="C21" authorId="0" shapeId="0">
      <text>
        <r>
          <rPr>
            <b/>
            <sz val="9"/>
            <color indexed="81"/>
            <rFont val="Tahoma"/>
            <family val="2"/>
          </rPr>
          <t>EscolaresSIEA:</t>
        </r>
        <r>
          <rPr>
            <sz val="9"/>
            <color indexed="81"/>
            <rFont val="Tahoma"/>
            <family val="2"/>
          </rPr>
          <t xml:space="preserve">
Sep-Dic2022= (H=1012, M=878)
Ene-Abr2023= (H=, M=)
May-Ago= (H=, M=)
Total=1890</t>
        </r>
      </text>
    </comment>
    <comment ref="C23" authorId="0" shapeId="0">
      <text>
        <r>
          <rPr>
            <b/>
            <sz val="9"/>
            <color indexed="81"/>
            <rFont val="Tahoma"/>
            <family val="2"/>
          </rPr>
          <t>EscolaresSIEA:</t>
        </r>
        <r>
          <rPr>
            <sz val="9"/>
            <color indexed="81"/>
            <rFont val="Tahoma"/>
            <family val="2"/>
          </rPr>
          <t xml:space="preserve">
Sep-Dic2022 = (H=41 ,M=34)
Ene-Abr2023= (H= ,M=)
May-Ago2023= (H= ,M=)
Total=75</t>
        </r>
      </text>
    </comment>
  </commentList>
</comments>
</file>

<file path=xl/comments7.xml><?xml version="1.0" encoding="utf-8"?>
<comments xmlns="http://schemas.openxmlformats.org/spreadsheetml/2006/main">
  <authors>
    <author>EscolaresSIEA</author>
    <author>ESCOLARES</author>
    <author>Usuario de Windows</author>
    <author>pc18dic@outlook.com</author>
    <author>user</author>
  </authors>
  <commentList>
    <comment ref="C11" authorId="0" shapeId="0">
      <text>
        <r>
          <rPr>
            <b/>
            <sz val="9"/>
            <color indexed="81"/>
            <rFont val="Tahoma"/>
            <family val="2"/>
          </rPr>
          <t>EscolaresSIEA:</t>
        </r>
        <r>
          <rPr>
            <sz val="9"/>
            <color indexed="81"/>
            <rFont val="Tahoma"/>
            <family val="2"/>
          </rPr>
          <t xml:space="preserve">
Sep-Dic23 = 176</t>
        </r>
      </text>
    </comment>
    <comment ref="C13" authorId="1" shapeId="0">
      <text>
        <r>
          <rPr>
            <b/>
            <sz val="9"/>
            <color indexed="81"/>
            <rFont val="Tahoma"/>
            <family val="2"/>
          </rPr>
          <t>ESCOLARES:</t>
        </r>
        <r>
          <rPr>
            <sz val="9"/>
            <color indexed="81"/>
            <rFont val="Tahoma"/>
            <family val="2"/>
          </rPr>
          <t xml:space="preserve">
Alumnos Reprobados
SEP-DIC2023: 578
ENE-ABR2024: 252
MAY-AGO2024:
Total: 830</t>
        </r>
      </text>
    </comment>
    <comment ref="C14" authorId="1" shapeId="0">
      <text>
        <r>
          <rPr>
            <b/>
            <sz val="9"/>
            <color indexed="81"/>
            <rFont val="Tahoma"/>
            <family val="2"/>
          </rPr>
          <t>ESCOLARES:</t>
        </r>
        <r>
          <rPr>
            <sz val="9"/>
            <color indexed="81"/>
            <rFont val="Tahoma"/>
            <family val="2"/>
          </rPr>
          <t xml:space="preserve">
Alumnos Inscritos
SEP-DIC2023: 4455
ENE-ABR2024: 3854
MAY-AGO2024:
Total: 8309</t>
        </r>
      </text>
    </comment>
    <comment ref="C16" authorId="0" shapeId="0">
      <text>
        <r>
          <rPr>
            <b/>
            <sz val="9"/>
            <color indexed="81"/>
            <rFont val="Tahoma"/>
            <family val="2"/>
          </rPr>
          <t>EscolaresSIEA:</t>
        </r>
        <r>
          <rPr>
            <sz val="9"/>
            <color indexed="81"/>
            <rFont val="Tahoma"/>
            <family val="2"/>
          </rPr>
          <t xml:space="preserve">
NUEVO INGRESO TSU
Sep-Dic 2021 Despresurizado: 768
Sep-Dic 2022 Escolarizado: 1441
Total: 2209</t>
        </r>
      </text>
    </comment>
    <comment ref="C17" authorId="0" shapeId="0">
      <text>
        <r>
          <rPr>
            <b/>
            <sz val="9"/>
            <color indexed="81"/>
            <rFont val="Tahoma"/>
            <family val="2"/>
          </rPr>
          <t>EscolaresSIEA:</t>
        </r>
        <r>
          <rPr>
            <sz val="9"/>
            <color indexed="81"/>
            <rFont val="Tahoma"/>
            <family val="2"/>
          </rPr>
          <t xml:space="preserve">
EGRESADOS
SEP-DIC 2023: 6
ENE-ABR 2024: 8
MAY-AGO 2024: 1305
TOTAL: 1319</t>
        </r>
      </text>
    </comment>
    <comment ref="C18" authorId="0" shapeId="0">
      <text>
        <r>
          <rPr>
            <b/>
            <sz val="9"/>
            <color indexed="81"/>
            <rFont val="Tahoma"/>
            <family val="2"/>
          </rPr>
          <t>EscolaresSIEA:</t>
        </r>
        <r>
          <rPr>
            <sz val="9"/>
            <color indexed="81"/>
            <rFont val="Tahoma"/>
            <family val="2"/>
          </rPr>
          <t xml:space="preserve">
TITULADOS
SEP-DIC 2023: 6
ENE-ABR 2024: 8
MAY-AGO 2024: 1305
TOTAL: 1319</t>
        </r>
      </text>
    </comment>
    <comment ref="C19" authorId="0" shapeId="0">
      <text>
        <r>
          <rPr>
            <b/>
            <sz val="9"/>
            <color indexed="81"/>
            <rFont val="Tahoma"/>
            <family val="2"/>
          </rPr>
          <t>EscolaresSIEA:</t>
        </r>
        <r>
          <rPr>
            <sz val="9"/>
            <color indexed="81"/>
            <rFont val="Tahoma"/>
            <family val="2"/>
          </rPr>
          <t xml:space="preserve">
ESTADIAS LIBERADAS
SEP-DIC 2023: 6
ENE-ABR 2024: 8
TOTAL: 14</t>
        </r>
      </text>
    </comment>
    <comment ref="C20" authorId="0" shapeId="0">
      <text>
        <r>
          <rPr>
            <b/>
            <sz val="9"/>
            <color indexed="81"/>
            <rFont val="Tahoma"/>
            <family val="2"/>
          </rPr>
          <t>EscolaresSIEA:</t>
        </r>
        <r>
          <rPr>
            <sz val="9"/>
            <color indexed="81"/>
            <rFont val="Tahoma"/>
            <family val="2"/>
          </rPr>
          <t xml:space="preserve">
MATRICULA ESTADIA
SEP-DIC 2023: 8
ENE-ABR 2024: 9
TOTAL: 17</t>
        </r>
      </text>
    </comment>
    <comment ref="C21" authorId="1" shapeId="0">
      <text>
        <r>
          <rPr>
            <b/>
            <sz val="9"/>
            <color indexed="81"/>
            <rFont val="Tahoma"/>
            <family val="2"/>
          </rPr>
          <t>ESCOLARES:</t>
        </r>
        <r>
          <rPr>
            <sz val="9"/>
            <color indexed="81"/>
            <rFont val="Tahoma"/>
            <family val="2"/>
          </rPr>
          <t xml:space="preserve">
SEP-DIC23= (H:1135, M:1000)
ENE-ABR24= (H:48, M: 56)
MAY-AGO24=
TOTAL=2239</t>
        </r>
      </text>
    </comment>
    <comment ref="C23" authorId="0" shapeId="0">
      <text>
        <r>
          <rPr>
            <b/>
            <sz val="9"/>
            <color indexed="81"/>
            <rFont val="Tahoma"/>
            <family val="2"/>
          </rPr>
          <t>EscolaresSIEA:</t>
        </r>
        <r>
          <rPr>
            <sz val="9"/>
            <color indexed="81"/>
            <rFont val="Tahoma"/>
            <family val="2"/>
          </rPr>
          <t xml:space="preserve">
Sep-Dic23 = 491
Ene-Abr24 = 197
May-Ago24 = 0
Total = 688</t>
        </r>
      </text>
    </comment>
    <comment ref="B25" authorId="2" shapeId="0">
      <text>
        <r>
          <rPr>
            <b/>
            <sz val="9"/>
            <color indexed="81"/>
            <rFont val="Tahoma"/>
            <family val="2"/>
          </rPr>
          <t>PEI 2019-2024</t>
        </r>
        <r>
          <rPr>
            <sz val="9"/>
            <color indexed="81"/>
            <rFont val="Tahoma"/>
            <family val="2"/>
          </rPr>
          <t xml:space="preserve">
</t>
        </r>
      </text>
    </comment>
    <comment ref="B27" authorId="3" shapeId="0">
      <text>
        <r>
          <rPr>
            <b/>
            <sz val="9"/>
            <color indexed="81"/>
            <rFont val="Tahoma"/>
            <family val="2"/>
          </rPr>
          <t>PEI 2019-2024</t>
        </r>
      </text>
    </comment>
    <comment ref="C27" authorId="0" shapeId="0">
      <text>
        <r>
          <rPr>
            <b/>
            <sz val="9"/>
            <color indexed="81"/>
            <rFont val="Tahoma"/>
            <family val="2"/>
          </rPr>
          <t>EscolaresSIEA:</t>
        </r>
        <r>
          <rPr>
            <sz val="9"/>
            <color indexed="81"/>
            <rFont val="Tahoma"/>
            <family val="2"/>
          </rPr>
          <t xml:space="preserve">
Sep-Dic23 = (H:43 , M:22)
</t>
        </r>
      </text>
    </comment>
    <comment ref="C54" authorId="4" shapeId="0">
      <text>
        <r>
          <rPr>
            <b/>
            <sz val="9"/>
            <color indexed="81"/>
            <rFont val="Tahoma"/>
            <family val="2"/>
          </rPr>
          <t>user:</t>
        </r>
        <r>
          <rPr>
            <sz val="9"/>
            <color indexed="81"/>
            <rFont val="Tahoma"/>
            <family val="2"/>
          </rPr>
          <t xml:space="preserve">
may 2023= 1012
sep-dic=7
ENE-ABR=8
</t>
        </r>
      </text>
    </comment>
  </commentList>
</comments>
</file>

<file path=xl/comments8.xml><?xml version="1.0" encoding="utf-8"?>
<comments xmlns="http://schemas.openxmlformats.org/spreadsheetml/2006/main">
  <authors>
    <author>EscolaresSIEA</author>
    <author>ESCOLARES</author>
    <author>Jesús</author>
    <author>user</author>
  </authors>
  <commentList>
    <comment ref="C11" authorId="0" shapeId="0">
      <text>
        <r>
          <rPr>
            <b/>
            <sz val="9"/>
            <color indexed="81"/>
            <rFont val="Tahoma"/>
            <family val="2"/>
          </rPr>
          <t>EscolaresSIEA:</t>
        </r>
        <r>
          <rPr>
            <sz val="9"/>
            <color indexed="81"/>
            <rFont val="Tahoma"/>
            <family val="2"/>
          </rPr>
          <t xml:space="preserve">
Sep-Dic23 = 1
Ene-Abr24 = 2
May-Ago24 = 0
Total = 3</t>
        </r>
      </text>
    </comment>
    <comment ref="C13" authorId="1" shapeId="0">
      <text>
        <r>
          <rPr>
            <b/>
            <sz val="9"/>
            <color indexed="81"/>
            <rFont val="Tahoma"/>
            <family val="2"/>
          </rPr>
          <t>ESCOLARES:</t>
        </r>
        <r>
          <rPr>
            <sz val="9"/>
            <color indexed="81"/>
            <rFont val="Tahoma"/>
            <family val="2"/>
          </rPr>
          <t xml:space="preserve">
Alumnos Reprobados
SEP-DIC2023: 45
ENE-ABR2024: 70
MAY-AGO2024:
Total: 115</t>
        </r>
      </text>
    </comment>
    <comment ref="C14" authorId="1" shapeId="0">
      <text>
        <r>
          <rPr>
            <b/>
            <sz val="9"/>
            <color indexed="81"/>
            <rFont val="Tahoma"/>
            <family val="2"/>
          </rPr>
          <t>ESCOLARES:</t>
        </r>
        <r>
          <rPr>
            <sz val="9"/>
            <color indexed="81"/>
            <rFont val="Tahoma"/>
            <family val="2"/>
          </rPr>
          <t xml:space="preserve">
Alumnos Inscritos
SEP-DIC2023: 1996
ENE-ABR2024: 1947
MAY-AGO2024:
Total: 3943</t>
        </r>
      </text>
    </comment>
    <comment ref="C15" authorId="2" shapeId="0">
      <text>
        <r>
          <rPr>
            <b/>
            <sz val="9"/>
            <color indexed="81"/>
            <rFont val="Tahoma"/>
            <charset val="1"/>
          </rPr>
          <t>SES Tit 01:</t>
        </r>
        <r>
          <rPr>
            <sz val="9"/>
            <color indexed="81"/>
            <rFont val="Tahoma"/>
            <charset val="1"/>
          </rPr>
          <t xml:space="preserve">
EGRESADOS DE LA COHORTE ENERO-ABRIL 2024: 858</t>
        </r>
      </text>
    </comment>
    <comment ref="C16" authorId="0" shapeId="0">
      <text>
        <r>
          <rPr>
            <b/>
            <sz val="9"/>
            <color indexed="81"/>
            <rFont val="Tahoma"/>
            <family val="2"/>
          </rPr>
          <t>EscolaresSIEA:</t>
        </r>
        <r>
          <rPr>
            <sz val="9"/>
            <color indexed="81"/>
            <rFont val="Tahoma"/>
            <family val="2"/>
          </rPr>
          <t xml:space="preserve">
NUEVO INGRESO ING-LIC
Sep-Dic 2022 Escolarizado: 1004</t>
        </r>
      </text>
    </comment>
    <comment ref="C17" authorId="0" shapeId="0">
      <text>
        <r>
          <rPr>
            <b/>
            <sz val="9"/>
            <color indexed="81"/>
            <rFont val="Tahoma"/>
            <family val="2"/>
          </rPr>
          <t>EscolaresSIEA:</t>
        </r>
        <r>
          <rPr>
            <sz val="9"/>
            <color indexed="81"/>
            <rFont val="Tahoma"/>
            <family val="2"/>
          </rPr>
          <t xml:space="preserve">
EGRESADOS
SEP-DIC 2023: 6
ENE-ABR 2024: 886
TOTAL: 892</t>
        </r>
      </text>
    </comment>
    <comment ref="C18" authorId="0" shapeId="0">
      <text>
        <r>
          <rPr>
            <b/>
            <sz val="9"/>
            <color indexed="81"/>
            <rFont val="Tahoma"/>
            <family val="2"/>
          </rPr>
          <t>EscolaresSIEA:</t>
        </r>
        <r>
          <rPr>
            <sz val="9"/>
            <color indexed="81"/>
            <rFont val="Tahoma"/>
            <family val="2"/>
          </rPr>
          <t xml:space="preserve">
TITULADOS
SEP-DIC 2023: 6
ENE-ABR 2024: 886
TOTAL: 892</t>
        </r>
      </text>
    </comment>
    <comment ref="C19" authorId="0" shapeId="0">
      <text>
        <r>
          <rPr>
            <b/>
            <sz val="9"/>
            <color indexed="81"/>
            <rFont val="Tahoma"/>
            <family val="2"/>
          </rPr>
          <t>EscolaresSIEA:</t>
        </r>
        <r>
          <rPr>
            <sz val="9"/>
            <color indexed="81"/>
            <rFont val="Tahoma"/>
            <family val="2"/>
          </rPr>
          <t xml:space="preserve">
ESTADIAS LIBERADAS
SEP-DIC 2023: 6
ENE-ABR 2024: 886
TOTAL: 892</t>
        </r>
      </text>
    </comment>
    <comment ref="C20" authorId="0" shapeId="0">
      <text>
        <r>
          <rPr>
            <b/>
            <sz val="9"/>
            <color indexed="81"/>
            <rFont val="Tahoma"/>
            <family val="2"/>
          </rPr>
          <t>EscolaresSIEA:</t>
        </r>
        <r>
          <rPr>
            <sz val="9"/>
            <color indexed="81"/>
            <rFont val="Tahoma"/>
            <family val="2"/>
          </rPr>
          <t xml:space="preserve">
MATRICULA ESTADIA
SEP-DIC 2023: 9
ENE-ABR 2024: 940
TOTAL: 949</t>
        </r>
      </text>
    </comment>
    <comment ref="C21" authorId="1" shapeId="0">
      <text>
        <r>
          <rPr>
            <b/>
            <sz val="9"/>
            <color indexed="81"/>
            <rFont val="Tahoma"/>
            <family val="2"/>
          </rPr>
          <t>ESCOLARES:</t>
        </r>
        <r>
          <rPr>
            <sz val="9"/>
            <color indexed="81"/>
            <rFont val="Tahoma"/>
            <family val="2"/>
          </rPr>
          <t xml:space="preserve">
SEP-DIC24= (H:932, M:879)
ENE-ABR24= (H:7, M:4)
MAY-AGO24=
TPTAL=1822</t>
        </r>
      </text>
    </comment>
    <comment ref="C23" authorId="0" shapeId="0">
      <text>
        <r>
          <rPr>
            <b/>
            <sz val="9"/>
            <color indexed="81"/>
            <rFont val="Tahoma"/>
            <family val="2"/>
          </rPr>
          <t>EscolaresSIEA:</t>
        </r>
        <r>
          <rPr>
            <sz val="9"/>
            <color indexed="81"/>
            <rFont val="Tahoma"/>
            <family val="2"/>
          </rPr>
          <t xml:space="preserve">
Sep-Dic23 = 73
Ene-Abr24 = 74
May-Ago = 0
Total = 147</t>
        </r>
      </text>
    </comment>
    <comment ref="C27" authorId="0" shapeId="0">
      <text>
        <r>
          <rPr>
            <b/>
            <sz val="9"/>
            <color indexed="81"/>
            <rFont val="Tahoma"/>
            <family val="2"/>
          </rPr>
          <t>EscolaresSIEA:</t>
        </r>
        <r>
          <rPr>
            <sz val="9"/>
            <color indexed="81"/>
            <rFont val="Tahoma"/>
            <family val="2"/>
          </rPr>
          <t xml:space="preserve">
Sep-Dic = (H:30 , M:34)</t>
        </r>
      </text>
    </comment>
    <comment ref="C54" authorId="3" shapeId="0">
      <text>
        <r>
          <rPr>
            <b/>
            <sz val="9"/>
            <color indexed="81"/>
            <rFont val="Tahoma"/>
            <charset val="1"/>
          </rPr>
          <t>user:</t>
        </r>
        <r>
          <rPr>
            <sz val="9"/>
            <color indexed="81"/>
            <rFont val="Tahoma"/>
            <charset val="1"/>
          </rPr>
          <t xml:space="preserve">
MAY-AGO23=29
SEP-DIC=6
ENE-ABR=858
</t>
        </r>
      </text>
    </comment>
  </commentList>
</comments>
</file>

<file path=xl/comments9.xml><?xml version="1.0" encoding="utf-8"?>
<comments xmlns="http://schemas.openxmlformats.org/spreadsheetml/2006/main">
  <authors>
    <author>SES Tit 01</author>
    <author>Usuario de Windows</author>
    <author>pc18dic@outlook.com</author>
    <author>HELENA</author>
  </authors>
  <commentList>
    <comment ref="C17" authorId="0" shapeId="0">
      <text>
        <r>
          <rPr>
            <b/>
            <sz val="9"/>
            <color indexed="81"/>
            <rFont val="Tahoma"/>
            <family val="2"/>
          </rPr>
          <t>SES Tit 01:</t>
        </r>
        <r>
          <rPr>
            <sz val="9"/>
            <color indexed="81"/>
            <rFont val="Tahoma"/>
            <family val="2"/>
          </rPr>
          <t xml:space="preserve">
EGRESADOS
SEP-DIC 2024: 16
ENE-ABR 2025: 11
MAY-AGO 2025: 1454
TOTAL: 1481</t>
        </r>
      </text>
    </comment>
    <comment ref="C18" authorId="0" shapeId="0">
      <text>
        <r>
          <rPr>
            <b/>
            <sz val="9"/>
            <color indexed="81"/>
            <rFont val="Tahoma"/>
            <family val="2"/>
          </rPr>
          <t>SES Tit 01:</t>
        </r>
        <r>
          <rPr>
            <sz val="9"/>
            <color indexed="81"/>
            <rFont val="Tahoma"/>
            <family val="2"/>
          </rPr>
          <t xml:space="preserve">
TITULADOS
SEP-DIC 2024: 16
ENE-ABR 2025: 11
MAY-AGO 2025: 1454
TOTAL: 1481</t>
        </r>
      </text>
    </comment>
    <comment ref="C19" authorId="0" shapeId="0">
      <text>
        <r>
          <rPr>
            <b/>
            <sz val="9"/>
            <color indexed="81"/>
            <rFont val="Tahoma"/>
            <family val="2"/>
          </rPr>
          <t>SES Tit 01:</t>
        </r>
        <r>
          <rPr>
            <sz val="9"/>
            <color indexed="81"/>
            <rFont val="Tahoma"/>
            <family val="2"/>
          </rPr>
          <t xml:space="preserve">
ESTADIAS LIBERADAS
SEP-DIC 2024: 16
ENE-ABR 2025: 11
MAY-AGO 2025: 1454
TOTAL: 1481</t>
        </r>
      </text>
    </comment>
    <comment ref="C20" authorId="0" shapeId="0">
      <text>
        <r>
          <rPr>
            <b/>
            <sz val="9"/>
            <color indexed="81"/>
            <rFont val="Tahoma"/>
            <family val="2"/>
          </rPr>
          <t>SES Tit 01:</t>
        </r>
        <r>
          <rPr>
            <sz val="9"/>
            <color indexed="81"/>
            <rFont val="Tahoma"/>
            <family val="2"/>
          </rPr>
          <t xml:space="preserve">
MATRICULA ESTADIA
SEP-DIC 2024: 26
ENE-ABR 2025: 13
MAY-AGO 2025: 1528
TOTAL: 1567</t>
        </r>
      </text>
    </comment>
    <comment ref="B25" authorId="1" shapeId="0">
      <text>
        <r>
          <rPr>
            <b/>
            <sz val="9"/>
            <color indexed="81"/>
            <rFont val="Tahoma"/>
            <family val="2"/>
          </rPr>
          <t>PEI 2019-2024</t>
        </r>
        <r>
          <rPr>
            <sz val="9"/>
            <color indexed="81"/>
            <rFont val="Tahoma"/>
            <family val="2"/>
          </rPr>
          <t xml:space="preserve">
</t>
        </r>
      </text>
    </comment>
    <comment ref="B27" authorId="2" shapeId="0">
      <text>
        <r>
          <rPr>
            <b/>
            <sz val="9"/>
            <color indexed="81"/>
            <rFont val="Tahoma"/>
            <family val="2"/>
          </rPr>
          <t>PEI 2019-2024</t>
        </r>
      </text>
    </comment>
    <comment ref="C53" authorId="3" shapeId="0">
      <text>
        <r>
          <rPr>
            <b/>
            <sz val="9"/>
            <color indexed="81"/>
            <rFont val="Tahoma"/>
            <charset val="1"/>
          </rPr>
          <t>HELENA:</t>
        </r>
        <r>
          <rPr>
            <sz val="9"/>
            <color indexed="81"/>
            <rFont val="Tahoma"/>
            <charset val="1"/>
          </rPr>
          <t xml:space="preserve">
</t>
        </r>
      </text>
    </comment>
    <comment ref="C54" authorId="3" shapeId="0">
      <text>
        <r>
          <rPr>
            <b/>
            <sz val="9"/>
            <color indexed="81"/>
            <rFont val="Tahoma"/>
            <charset val="1"/>
          </rPr>
          <t>HELENA:</t>
        </r>
        <r>
          <rPr>
            <sz val="9"/>
            <color indexed="81"/>
            <rFont val="Tahoma"/>
            <charset val="1"/>
          </rPr>
          <t xml:space="preserve">
SEP-DIC 23 (6)
ENE-ABR 24 (8)
MAY-AGO 24( 1218)
</t>
        </r>
      </text>
    </comment>
  </commentList>
</comments>
</file>

<file path=xl/sharedStrings.xml><?xml version="1.0" encoding="utf-8"?>
<sst xmlns="http://schemas.openxmlformats.org/spreadsheetml/2006/main" count="1651" uniqueCount="195">
  <si>
    <t>Nombre del Plantel: UNIVERSIDAD TECNOLÓGICA DEL CENTRO DE VERACRUZ</t>
  </si>
  <si>
    <t>ALUMNOS</t>
  </si>
  <si>
    <t>CANTIDAD</t>
  </si>
  <si>
    <t>%</t>
  </si>
  <si>
    <t xml:space="preserve"> DESERCIÓN</t>
  </si>
  <si>
    <t>REPROBACIÓN</t>
  </si>
  <si>
    <t xml:space="preserve"> EFICIENCIA TERMINAL</t>
  </si>
  <si>
    <t xml:space="preserve"> TITULACIÓN</t>
  </si>
  <si>
    <t xml:space="preserve"> ALUMNOS EN ESTADÍAS</t>
  </si>
  <si>
    <t xml:space="preserve"> ALUMNOS BECARIOS</t>
  </si>
  <si>
    <t xml:space="preserve"> BAJA TEMPORAL</t>
  </si>
  <si>
    <t>DOCENTES</t>
  </si>
  <si>
    <t>No. DE ALUMNOS POR PERSONAL DOCENTE</t>
  </si>
  <si>
    <t xml:space="preserve"> DOCENTES EN CURSOS DE FORMACIÓN</t>
  </si>
  <si>
    <t xml:space="preserve"> DOCENTES EN CURSOS DE ACTUALIZACIÓN</t>
  </si>
  <si>
    <t xml:space="preserve"> DOCENTES CON POSGRADO</t>
  </si>
  <si>
    <t xml:space="preserve"> DOCENTES EN PROGRAMAS DE ESTÍMULOS</t>
  </si>
  <si>
    <t>% DE DOCENTES EVALUADOS</t>
  </si>
  <si>
    <t>EXTENSIÓN Y VINCULACIÓN</t>
  </si>
  <si>
    <t xml:space="preserve"> ALUMNOS EN SERVICIO SOCIAL</t>
  </si>
  <si>
    <t>NO APLICA</t>
  </si>
  <si>
    <t xml:space="preserve"> ALUMNOS EN ACTIVIDADES DEPORTIVAS</t>
  </si>
  <si>
    <t xml:space="preserve"> ALUMNOS EN ACTIVIDADES CULTURALES</t>
  </si>
  <si>
    <t xml:space="preserve"> ALUMNOS EN PROGRAMAS DE EMPRENDEDORES</t>
  </si>
  <si>
    <t>ALUMNOS EN PROGRAMAS DE INNOVACIÓN</t>
  </si>
  <si>
    <t xml:space="preserve"> EGRESADOS EN EL SECTOR LABORAL</t>
  </si>
  <si>
    <t xml:space="preserve"> EFICIENCIA DE CONVENIOS</t>
  </si>
  <si>
    <t>INVESTIGACIÓN</t>
  </si>
  <si>
    <t>ALUMNOS PARTICIPANTES EN PROYECTOS DE INVESTIGACIÓN</t>
  </si>
  <si>
    <t>DOCENTES PARTICIPANTES EN PROYECTOS DE INVESTIGACIÓN</t>
  </si>
  <si>
    <t xml:space="preserve"> INVESTIGADORES MIEMBROS DEL SISTEMA NACIONAL DE INVESTIGADORES</t>
  </si>
  <si>
    <t xml:space="preserve"> DE PRESUPUESTO PARA PROYECTOS DE INVESTIGACIÓN</t>
  </si>
  <si>
    <t>ADMINISTRACIÓN</t>
  </si>
  <si>
    <t>COBERTURA EN EL ENTORNO</t>
  </si>
  <si>
    <t>AULAS OCUPADAS</t>
  </si>
  <si>
    <t>No. DE VOLÚMENES POR ALUMNO</t>
  </si>
  <si>
    <t>No. DE ALUMNOS POR COMPUTADORA</t>
  </si>
  <si>
    <t>No. DE ALUMNOS POR PERSONAL ADMINISTRATIVO</t>
  </si>
  <si>
    <t>PARTICIPANTES EN CAPACITACIÓN ADMINISTRATIVA</t>
  </si>
  <si>
    <t xml:space="preserve">COSTO POR ALUMNO </t>
  </si>
  <si>
    <t>Técnico Superior Universitario</t>
  </si>
  <si>
    <t>Ingeniería</t>
  </si>
  <si>
    <t>Global</t>
  </si>
  <si>
    <t>Área proveedora de la información</t>
  </si>
  <si>
    <t>Servicios Escolares</t>
  </si>
  <si>
    <t>Recursos Humanos</t>
  </si>
  <si>
    <t>Servicios Estudiantiles</t>
  </si>
  <si>
    <t>Bolsa de Trabajo</t>
  </si>
  <si>
    <t>Vinculación Académica</t>
  </si>
  <si>
    <t>Investigación</t>
  </si>
  <si>
    <t>Servicios Generales</t>
  </si>
  <si>
    <t>CIBI</t>
  </si>
  <si>
    <t>Sistemas</t>
  </si>
  <si>
    <t>Presupuesto</t>
  </si>
  <si>
    <t xml:space="preserve"> ATENCIÓN A LA DEMANDA EN EL SÉPTIMO CUATRIMESTRE</t>
  </si>
  <si>
    <t xml:space="preserve"> ATENCIÓN A LA DEMANDA EN EL PRIMER CUATRIMESTRE DE TSU Y SÉPTIMO CUATRIMESTRE DE INGENIERÍA</t>
  </si>
  <si>
    <t>Incubadora</t>
  </si>
  <si>
    <t>UTCV 
2016-2017</t>
  </si>
  <si>
    <t>UTCV
2015-2016</t>
  </si>
  <si>
    <t>UTCV 
2017-2018</t>
  </si>
  <si>
    <t>RECTOR</t>
  </si>
  <si>
    <t>MTRO. JUAN MANUEL ARZOLA CASTRO</t>
  </si>
  <si>
    <t>UTCV 
2018-2019</t>
  </si>
  <si>
    <t>ALUMNOS EN PROGRAMAS DE TUTORÍA</t>
  </si>
  <si>
    <t>CAPT</t>
  </si>
  <si>
    <t>UTCV 
2019-2020</t>
  </si>
  <si>
    <t>Dirección de Educación Tecnológica</t>
  </si>
  <si>
    <t>Carreras</t>
  </si>
  <si>
    <t>Nivel</t>
  </si>
  <si>
    <t>Modalidad</t>
  </si>
  <si>
    <t>Alumnos de Nuevo Ingreso</t>
  </si>
  <si>
    <t>Alumnos Reinscritos</t>
  </si>
  <si>
    <t>Total</t>
  </si>
  <si>
    <t>Total  Matrícula</t>
  </si>
  <si>
    <t>Hom</t>
  </si>
  <si>
    <t>Muj</t>
  </si>
  <si>
    <t>Suma</t>
  </si>
  <si>
    <t>TSU en Desarrollo de Negocios Área Mercadotecnia</t>
  </si>
  <si>
    <t>TSU</t>
  </si>
  <si>
    <t>Despresurizado</t>
  </si>
  <si>
    <t>Campo Grande</t>
  </si>
  <si>
    <t>Escolarizado (L-V)</t>
  </si>
  <si>
    <t>TSU en Mantenimiento Área Industrial</t>
  </si>
  <si>
    <t>TSU en Turismo Área Hotelería</t>
  </si>
  <si>
    <t>Cuitláhuac</t>
  </si>
  <si>
    <t>TSU en Energías Renovables Área Calidad y Ahorro de Energía</t>
  </si>
  <si>
    <t>TSU en Gastronomía</t>
  </si>
  <si>
    <t>TSU en Gestión Integral del Riesgo de Desastres</t>
  </si>
  <si>
    <t>TSU en Logística Área Cadena de Suministros</t>
  </si>
  <si>
    <t>TSU en Mantenimiento Área Petróleo</t>
  </si>
  <si>
    <t>TSU en Procesos Alimentarios</t>
  </si>
  <si>
    <t>TSU en Tecnologías de la Información Área Desarrollo de Software Multiplataforma</t>
  </si>
  <si>
    <t>TSU en Tecnologías de la Información Área Infraestructura de Redes Digitales</t>
  </si>
  <si>
    <t>Maltrata</t>
  </si>
  <si>
    <t>Escolarizado (V-S)</t>
  </si>
  <si>
    <t>TOTALES</t>
  </si>
  <si>
    <t>ELABORÓ</t>
  </si>
  <si>
    <t xml:space="preserve">    </t>
  </si>
  <si>
    <t>Etiquetas de fila</t>
  </si>
  <si>
    <t>Total general</t>
  </si>
  <si>
    <t>Suma de Total  Matrícula</t>
  </si>
  <si>
    <t>Suma de Hom3</t>
  </si>
  <si>
    <t>Suma de Muj3</t>
  </si>
  <si>
    <t>ALUMNOS PROVENIENTES DE PUEBLOS ORIGINARIOS (Indicador del PEI)</t>
  </si>
  <si>
    <t>UTCV 
2020-2021</t>
  </si>
  <si>
    <t>Formato de Matrícula Final ciclo 2021-2022</t>
  </si>
  <si>
    <t>Plantel: UNIVERSIDAD TECNOLÓGICA DEL CENTRO DE VERACRUZ</t>
  </si>
  <si>
    <t>CICLO 2021-2022</t>
  </si>
  <si>
    <t>APORTE A LA MATRÍCULA NACIONAL (Técnico Superior Universitario Licenciatura , Maestría  y  Especialización)</t>
  </si>
  <si>
    <t>Sede (Extensión, Campus O Unidad Académica)</t>
  </si>
  <si>
    <t>Número total de fichas entregadas para alumnos de nuevo ingreso</t>
  </si>
  <si>
    <t>TSU en Mecatrónica Área Automatización</t>
  </si>
  <si>
    <t>TSU en Agricultura Sustentable y Protegida</t>
  </si>
  <si>
    <t>TSU en Mecánica Área Automotriz</t>
  </si>
  <si>
    <t>TSU en Nanotecnología</t>
  </si>
  <si>
    <t>TSU en Tecnologías de la Información área Entornos Virtuales y Negocios Digitales</t>
  </si>
  <si>
    <t>Ingeniería en Agricultura Sustentable y Protegida</t>
  </si>
  <si>
    <t>ING</t>
  </si>
  <si>
    <t>Ingeniería en Energías Renovables</t>
  </si>
  <si>
    <t>Ingeniería en Mantenimiento Industrial</t>
  </si>
  <si>
    <t>Ingeniería en Mecatrónica</t>
  </si>
  <si>
    <t>Ingeniería en Metal Mecánica</t>
  </si>
  <si>
    <t>Ingeniería en Procesos Bioalimentarios</t>
  </si>
  <si>
    <t>Ingeniería en Desarrollo y Gestión de Software</t>
  </si>
  <si>
    <t>Ingeniería en Redes Inteligentes y Ciberseguridad</t>
  </si>
  <si>
    <t>Ingeniería en Entornos Virtuales y Negocios Digitales</t>
  </si>
  <si>
    <t>Ingeniería en Tecnologías de la Información</t>
  </si>
  <si>
    <t>Licenciatura en Diseño y Gestión de Redes Logísticas</t>
  </si>
  <si>
    <t>Licenciatura en Gastronomía</t>
  </si>
  <si>
    <t>Licenciatura en Gestión y Desarrollo Turístico</t>
  </si>
  <si>
    <t>Licenciatura en Innovación de Negocios y Mercadotecnia</t>
  </si>
  <si>
    <t>FIRMA DEL RECTOR</t>
  </si>
  <si>
    <t>ING. ENRIQUE EFRAÍN CÓRDOBA RAMÍREZ
JEFE DEL DEPTO. DE SERVICIOS ESCOLARES</t>
  </si>
  <si>
    <t>MTRO. JUAN MANUEL ARZOLA CASTRO
RECTOR</t>
  </si>
  <si>
    <t xml:space="preserve"> ATENCIÓN A LA DEMANDA EN EL PRIMER CUATRIMESTRE</t>
  </si>
  <si>
    <t>DET</t>
  </si>
  <si>
    <t>Dirección Académica</t>
  </si>
  <si>
    <t>Área proveedora de la información:</t>
  </si>
  <si>
    <t>Promoción y Difusión</t>
  </si>
  <si>
    <t>Área responsable de proporcionar el plan de acción</t>
  </si>
  <si>
    <t>Vinculación</t>
  </si>
  <si>
    <t>Dirección Administrativa</t>
  </si>
  <si>
    <t>(en blanco)</t>
  </si>
  <si>
    <t>UTCV 
2021-2022</t>
  </si>
  <si>
    <t>INDICADORES INSTITUCIONALES BÁSICOS  CICLO ESCOLAR 2022-2023
(De septiembre 2022 a abril de 2023)</t>
  </si>
  <si>
    <t>Incubadora-DNM</t>
  </si>
  <si>
    <t>INDICADORES INSTITUCIONALES BÁSICOS  CICLO ESCOLAR 2021-2022 
(De septiembre 2021 a agosto 2022)</t>
  </si>
  <si>
    <t>Planeación y Evaluación</t>
  </si>
  <si>
    <t>INDICADORES INSTITUCIONALES BÁSICOS  CICLO ESCOLAR 2020-2021 (De septiembre 2020 a agosto 2021)</t>
  </si>
  <si>
    <t>UTCV 
2022-2023</t>
  </si>
  <si>
    <t>Media Nacional</t>
  </si>
  <si>
    <t>Media Estatal</t>
  </si>
  <si>
    <t>Criterios generales</t>
  </si>
  <si>
    <r>
      <rPr>
        <b/>
        <sz val="9"/>
        <rFont val="Montserrat"/>
        <family val="3"/>
      </rPr>
      <t>Criterio del numerador:</t>
    </r>
    <r>
      <rPr>
        <sz val="9"/>
        <rFont val="Montserrat"/>
        <family val="3"/>
      </rPr>
      <t xml:space="preserve"> Considerar el total de presupuesto de operación asignado al plantel al cierre del año en que inició en ciclo escolar a reportar. 
</t>
    </r>
    <r>
      <rPr>
        <b/>
        <sz val="9"/>
        <rFont val="Montserrat"/>
        <family val="3"/>
      </rPr>
      <t>Criterio del denominador:</t>
    </r>
    <r>
      <rPr>
        <sz val="9"/>
        <rFont val="Montserrat"/>
        <family val="3"/>
      </rPr>
      <t xml:space="preserve"> Considerar la matricula oficial (proporcionada en los cuestionarios 911), emitida por el área correspondiente, previa validación por TecNM/DGUTyP  y dividirlo entre 1000.</t>
    </r>
  </si>
  <si>
    <r>
      <t xml:space="preserve">Criterio del numerador: </t>
    </r>
    <r>
      <rPr>
        <sz val="9"/>
        <rFont val="Montserrat"/>
        <family val="3"/>
      </rPr>
      <t>Es el presupuesto utilizado para investigación (ejercido en el ciclo). Se pueden incluir los recursos de congresos de investigación, concursos de posters, carteles, verano de la ciencia, apoyo de estadías, apoyo para publicación de artículos, apoyo para publicación de libros, viaticos para congresos, visitas a centros de investigación, apoyo para prototipos de investigación, apoyo para registros de software derivados de investigación, apoyos a proyectos de investigación, pagos salariales a investigadores y todos los apoyos económicos otorgados por la institución para la investigación. Para calcular el indicador se deberá solicitar al área financiera el monto ejercido en investigación en ambos semestres del ciclo escolar.</t>
    </r>
    <r>
      <rPr>
        <b/>
        <sz val="9"/>
        <rFont val="Montserrat"/>
        <family val="3"/>
      </rPr>
      <t xml:space="preserve">
Criterio del denominador: </t>
    </r>
    <r>
      <rPr>
        <sz val="9"/>
        <rFont val="Montserrat"/>
        <family val="3"/>
      </rPr>
      <t xml:space="preserve">Considerar el presupuesto total asignado al cierre del año,  (presupuesto inicial, mas las ampliaciones presupuestales, mas el recurso obtenido de las convocatorias de los proyectos de investigación).  </t>
    </r>
  </si>
  <si>
    <r>
      <t xml:space="preserve">Se deberán </t>
    </r>
    <r>
      <rPr>
        <b/>
        <sz val="9"/>
        <rFont val="Montserrat"/>
        <family val="3"/>
      </rPr>
      <t>sumar las bajas definitivas</t>
    </r>
    <r>
      <rPr>
        <sz val="9"/>
        <rFont val="Montserrat"/>
        <family val="3"/>
      </rPr>
      <t xml:space="preserve"> generadas en todos los periodos del ciclo escolar, </t>
    </r>
    <r>
      <rPr>
        <b/>
        <sz val="9"/>
        <rFont val="Montserrat"/>
        <family val="3"/>
      </rPr>
      <t>la matrícula a considerar debe ser la de inicio del ciclo escolar</t>
    </r>
    <r>
      <rPr>
        <sz val="9"/>
        <rFont val="Montserrat"/>
        <family val="3"/>
      </rPr>
      <t xml:space="preserve"> a reportar.</t>
    </r>
  </si>
  <si>
    <r>
      <t xml:space="preserve">En el numerador al cierre del ciclo </t>
    </r>
    <r>
      <rPr>
        <b/>
        <sz val="9"/>
        <rFont val="Montserrat"/>
        <family val="3"/>
      </rPr>
      <t>se va a sumar el resultado de todos los periodos</t>
    </r>
    <r>
      <rPr>
        <sz val="9"/>
        <rFont val="Montserrat"/>
        <family val="3"/>
      </rPr>
      <t xml:space="preserve"> del ciclo escolar.  </t>
    </r>
    <r>
      <rPr>
        <b/>
        <sz val="9"/>
        <rFont val="Montserrat"/>
        <family val="3"/>
      </rPr>
      <t>Considerar los que deberían haber realizado residencias de todos los periodos</t>
    </r>
    <r>
      <rPr>
        <sz val="9"/>
        <rFont val="Montserrat"/>
        <family val="3"/>
      </rPr>
      <t xml:space="preserve"> del ciclo escolar. Tener cuidado de no duplicar los alumnos de ambos periodos en el numerador y denominador.</t>
    </r>
  </si>
  <si>
    <r>
      <rPr>
        <b/>
        <sz val="9"/>
        <rFont val="Montserrat"/>
        <family val="3"/>
      </rPr>
      <t>Los alumnos a considerar como baja temporal son aquellos que no se reinscribieron en el ciclo escolar</t>
    </r>
    <r>
      <rPr>
        <sz val="9"/>
        <rFont val="Montserrat"/>
        <family val="3"/>
      </rPr>
      <t xml:space="preserve"> a reportar de acuerdo a las matriculas oficiales emitidas por el departamento de control escolar y validada por TecNM/DGUTyP según corresponda.</t>
    </r>
    <r>
      <rPr>
        <b/>
        <sz val="9"/>
        <rFont val="Montserrat"/>
        <family val="3"/>
      </rPr>
      <t xml:space="preserve"> Al cierre del ciclo se deberán sumar las bajas temporales generadas en todos los periodos </t>
    </r>
    <r>
      <rPr>
        <sz val="9"/>
        <rFont val="Montserrat"/>
        <family val="3"/>
      </rPr>
      <t xml:space="preserve">del ciclo escolar, </t>
    </r>
    <r>
      <rPr>
        <b/>
        <sz val="9"/>
        <rFont val="Montserrat"/>
        <family val="3"/>
      </rPr>
      <t>la matrícula a considerar debe ser la de inicio del ciclo escolar</t>
    </r>
    <r>
      <rPr>
        <sz val="9"/>
        <rFont val="Montserrat"/>
        <family val="3"/>
      </rPr>
      <t xml:space="preserve"> a reportar.</t>
    </r>
  </si>
  <si>
    <r>
      <t xml:space="preserve">El indicador </t>
    </r>
    <r>
      <rPr>
        <b/>
        <sz val="9"/>
        <rFont val="Montserrat"/>
        <family val="3"/>
      </rPr>
      <t>solo se calcula al inicio del ciclo escolar</t>
    </r>
    <r>
      <rPr>
        <sz val="9"/>
        <rFont val="Montserrat"/>
        <family val="3"/>
      </rPr>
      <t xml:space="preserve"> y se mantiene la información igual todo el ciclo escolar. De acuerdo a los periodos de nuevo ingreso. </t>
    </r>
  </si>
  <si>
    <r>
      <t xml:space="preserve">Este indicador </t>
    </r>
    <r>
      <rPr>
        <b/>
        <sz val="9"/>
        <rFont val="Montserrat"/>
        <family val="3"/>
      </rPr>
      <t>solo se calcula al inicio del ciclo escolar</t>
    </r>
    <r>
      <rPr>
        <sz val="9"/>
        <rFont val="Montserrat"/>
        <family val="3"/>
      </rPr>
      <t xml:space="preserve"> y se mantiene igual todo el ciclo escolar.   </t>
    </r>
  </si>
  <si>
    <r>
      <rPr>
        <b/>
        <sz val="9"/>
        <rFont val="Montserrat"/>
        <family val="3"/>
      </rPr>
      <t>Este indicador solo se calcula al inicio del ciclo escolar (Agosto)</t>
    </r>
    <r>
      <rPr>
        <sz val="9"/>
        <rFont val="Montserrat"/>
        <family val="3"/>
      </rPr>
      <t xml:space="preserve"> y se mantiene igual todo el ciclo escolar. * </t>
    </r>
    <r>
      <rPr>
        <b/>
        <sz val="9"/>
        <rFont val="Montserrat"/>
        <family val="3"/>
      </rPr>
      <t xml:space="preserve">Este indicacor no aplica para las UT'S y UPH     </t>
    </r>
  </si>
  <si>
    <r>
      <t xml:space="preserve">Para el calculo por ciclo se deberán </t>
    </r>
    <r>
      <rPr>
        <b/>
        <sz val="9"/>
        <rFont val="Montserrat"/>
        <family val="3"/>
      </rPr>
      <t>sumar los alumnos participantes en servicio social y los que lo deben realizar en ambos periodos del ciclo escolar</t>
    </r>
    <r>
      <rPr>
        <sz val="9"/>
        <rFont val="Montserrat"/>
        <family val="3"/>
      </rPr>
      <t>, verificando que no se dupliquen.</t>
    </r>
  </si>
  <si>
    <r>
      <t xml:space="preserve">En el numerador al cierre del ciclo se deberán </t>
    </r>
    <r>
      <rPr>
        <b/>
        <sz val="9"/>
        <rFont val="Montserrat"/>
        <family val="3"/>
      </rPr>
      <t>sumar los alumnos participantes en actividades deportivas de ambos periodos del ciclo escolar</t>
    </r>
    <r>
      <rPr>
        <sz val="9"/>
        <rFont val="Montserrat"/>
        <family val="3"/>
      </rPr>
      <t xml:space="preserve"> , verificando que no se dupliquen. </t>
    </r>
    <r>
      <rPr>
        <b/>
        <sz val="9"/>
        <rFont val="Montserrat"/>
        <family val="3"/>
      </rPr>
      <t>El denominador solo se calcula al inicio del ciclo escolar</t>
    </r>
    <r>
      <rPr>
        <sz val="9"/>
        <rFont val="Montserrat"/>
        <family val="3"/>
      </rPr>
      <t xml:space="preserve"> (Agosto) y se mantiene igual todo el ciclo escolar.</t>
    </r>
  </si>
  <si>
    <r>
      <t xml:space="preserve">En el numerador al cierre del ciclo se deberán </t>
    </r>
    <r>
      <rPr>
        <b/>
        <sz val="9"/>
        <rFont val="Montserrat"/>
        <family val="3"/>
      </rPr>
      <t>sumar los alumnos participantes en actividades culturales de todos los periodos del ciclo escolar</t>
    </r>
    <r>
      <rPr>
        <sz val="9"/>
        <rFont val="Montserrat"/>
        <family val="3"/>
      </rPr>
      <t xml:space="preserve">, verificando que no se dupliquen. </t>
    </r>
    <r>
      <rPr>
        <b/>
        <sz val="9"/>
        <rFont val="Montserrat"/>
        <family val="3"/>
      </rPr>
      <t>El denominador solo se calcula al inicio del ciclo escolar</t>
    </r>
    <r>
      <rPr>
        <sz val="9"/>
        <rFont val="Montserrat"/>
        <family val="3"/>
      </rPr>
      <t xml:space="preserve">  y se mantiene igual todo el ciclo escolar.</t>
    </r>
  </si>
  <si>
    <r>
      <t xml:space="preserve">En el numerador al cierre del ciclo se deberán </t>
    </r>
    <r>
      <rPr>
        <b/>
        <sz val="9"/>
        <rFont val="Montserrat"/>
        <family val="3"/>
      </rPr>
      <t>sumar los alumnos participantes en Programas de Emprendedores en todos los periodos del ciclo escolar</t>
    </r>
    <r>
      <rPr>
        <sz val="9"/>
        <rFont val="Montserrat"/>
        <family val="3"/>
      </rPr>
      <t xml:space="preserve">, verificando que no se dupliquen. </t>
    </r>
    <r>
      <rPr>
        <b/>
        <sz val="9"/>
        <rFont val="Montserrat"/>
        <family val="3"/>
      </rPr>
      <t>El denominador solo se calcula al inicio del ciclo escolar</t>
    </r>
    <r>
      <rPr>
        <sz val="9"/>
        <rFont val="Montserrat"/>
        <family val="3"/>
      </rPr>
      <t xml:space="preserve"> y se mantiene igual todo el ciclo escolar.</t>
    </r>
  </si>
  <si>
    <r>
      <t xml:space="preserve">En el numerador al cierre del ciclo se deberán </t>
    </r>
    <r>
      <rPr>
        <b/>
        <sz val="9"/>
        <rFont val="Montserrat"/>
        <family val="3"/>
      </rPr>
      <t>sumar los alumnos participantes en Programas de Innovación en ambos periodos del ciclo escolar</t>
    </r>
    <r>
      <rPr>
        <sz val="9"/>
        <rFont val="Montserrat"/>
        <family val="3"/>
      </rPr>
      <t xml:space="preserve"> , verificando que no se dupliquen. </t>
    </r>
    <r>
      <rPr>
        <b/>
        <sz val="9"/>
        <rFont val="Montserrat"/>
        <family val="3"/>
      </rPr>
      <t>El denominador solo se calcula al inicio del ciclo escolar</t>
    </r>
    <r>
      <rPr>
        <sz val="9"/>
        <rFont val="Montserrat"/>
        <family val="3"/>
      </rPr>
      <t xml:space="preserve"> y se mantiene igual todo el ciclo escolar.</t>
    </r>
  </si>
  <si>
    <r>
      <t xml:space="preserve">Para el calculo por ciclo se deberán </t>
    </r>
    <r>
      <rPr>
        <b/>
        <sz val="9"/>
        <rFont val="Montserrat"/>
        <family val="3"/>
      </rPr>
      <t>sumar los egresados ubicados y egresados en ambos periodos del ciclo escolar</t>
    </r>
    <r>
      <rPr>
        <sz val="9"/>
        <rFont val="Montserrat"/>
        <family val="3"/>
      </rPr>
      <t>, verificando que no se dupliquen.</t>
    </r>
  </si>
  <si>
    <r>
      <t xml:space="preserve">Para el calculo por ciclo se deberán </t>
    </r>
    <r>
      <rPr>
        <b/>
        <sz val="9"/>
        <rFont val="Montserrat"/>
        <family val="3"/>
      </rPr>
      <t>sumar los proyectos con resultados y los convenios firmados en ambos periodos del ciclo escolar</t>
    </r>
    <r>
      <rPr>
        <sz val="9"/>
        <rFont val="Montserrat"/>
        <family val="3"/>
      </rPr>
      <t>, verificando que no se dupliquen.</t>
    </r>
  </si>
  <si>
    <r>
      <t xml:space="preserve">En </t>
    </r>
    <r>
      <rPr>
        <b/>
        <sz val="9"/>
        <rFont val="Montserrat"/>
        <family val="3"/>
      </rPr>
      <t>el numerador al cierre del ciclo se deberá sumar el personal administrativo participante en cursos de capacitación  en ambos periodos del ciclo escolar</t>
    </r>
    <r>
      <rPr>
        <sz val="9"/>
        <rFont val="Montserrat"/>
        <family val="3"/>
      </rPr>
      <t xml:space="preserve"> , verificando que no se dupliquen.  </t>
    </r>
    <r>
      <rPr>
        <b/>
        <sz val="9"/>
        <rFont val="Montserrat"/>
        <family val="3"/>
      </rPr>
      <t xml:space="preserve">Para el denominador considerar el total de personal administrativo reportado en el primer período del ciclo escolar </t>
    </r>
    <r>
      <rPr>
        <sz val="9"/>
        <rFont val="Montserrat"/>
        <family val="3"/>
      </rPr>
      <t>(agosto 2023- julio 2024 para los ITS, Septiembre-Diciembre 2023 para las UT'S, UPH).</t>
    </r>
  </si>
  <si>
    <r>
      <rPr>
        <b/>
        <sz val="9"/>
        <rFont val="Montserrat"/>
        <family val="3"/>
      </rPr>
      <t>Tanto el numerador como el denominador deben solicitarse en los dos periodos del ciclo escolar</t>
    </r>
    <r>
      <rPr>
        <sz val="9"/>
        <rFont val="Montserrat"/>
        <family val="3"/>
      </rPr>
      <t>.</t>
    </r>
  </si>
  <si>
    <r>
      <rPr>
        <b/>
        <sz val="9"/>
        <rFont val="Montserrat"/>
        <family val="3"/>
      </rPr>
      <t xml:space="preserve">Para el numerador considerar la matrícula  de nuevo ingreso oficial de </t>
    </r>
    <r>
      <rPr>
        <sz val="9"/>
        <rFont val="Montserrat"/>
        <family val="3"/>
      </rPr>
      <t xml:space="preserve">agosto de 2023 para los ITS, </t>
    </r>
    <r>
      <rPr>
        <b/>
        <sz val="9"/>
        <rFont val="Montserrat"/>
        <family val="3"/>
      </rPr>
      <t>septiembre 2023 para las UT'S</t>
    </r>
    <r>
      <rPr>
        <sz val="9"/>
        <rFont val="Montserrat"/>
        <family val="3"/>
      </rPr>
      <t xml:space="preserve"> y UPH y </t>
    </r>
    <r>
      <rPr>
        <b/>
        <sz val="9"/>
        <rFont val="Montserrat"/>
        <family val="3"/>
      </rPr>
      <t xml:space="preserve">para el denominador los egresados en julio de 2023 de educación media superior  de la zona de influencia, agregar la fuente de información donde se obtuvieron los datos. </t>
    </r>
  </si>
  <si>
    <r>
      <rPr>
        <b/>
        <sz val="9"/>
        <rFont val="Montserrat"/>
        <family val="3"/>
      </rPr>
      <t>En el numerador se integra la información recopilada en ambos periodos del ciclo escolar</t>
    </r>
    <r>
      <rPr>
        <sz val="9"/>
        <rFont val="Montserrat"/>
        <family val="3"/>
      </rPr>
      <t xml:space="preserve">, verificando que no se duplique. </t>
    </r>
    <r>
      <rPr>
        <b/>
        <sz val="9"/>
        <rFont val="Montserrat"/>
        <family val="3"/>
      </rPr>
      <t xml:space="preserve">El denominador solo se calcula al inicio del ciclo escolar </t>
    </r>
    <r>
      <rPr>
        <sz val="9"/>
        <rFont val="Montserrat"/>
        <family val="3"/>
      </rPr>
      <t xml:space="preserve">(Agosto para los ITS, </t>
    </r>
    <r>
      <rPr>
        <b/>
        <sz val="9"/>
        <rFont val="Montserrat"/>
        <family val="3"/>
      </rPr>
      <t>Septiembre para las UT´S</t>
    </r>
    <r>
      <rPr>
        <sz val="9"/>
        <rFont val="Montserrat"/>
        <family val="3"/>
      </rPr>
      <t>, UPH) y se mantiene igual todo el ciclo escolar.</t>
    </r>
  </si>
  <si>
    <r>
      <t xml:space="preserve">Para </t>
    </r>
    <r>
      <rPr>
        <b/>
        <sz val="9"/>
        <rFont val="Montserrat"/>
        <family val="3"/>
      </rPr>
      <t xml:space="preserve">el númerador considerar la matricula oficial </t>
    </r>
    <r>
      <rPr>
        <sz val="9"/>
        <rFont val="Montserrat"/>
        <family val="3"/>
      </rPr>
      <t xml:space="preserve">(proporcionada en los cuestionarios 911), de Agosto para los ITS, </t>
    </r>
    <r>
      <rPr>
        <b/>
        <sz val="9"/>
        <rFont val="Montserrat"/>
        <family val="3"/>
      </rPr>
      <t xml:space="preserve">septiembre para las UT'S, </t>
    </r>
    <r>
      <rPr>
        <sz val="9"/>
        <rFont val="Montserrat"/>
        <family val="3"/>
      </rPr>
      <t xml:space="preserve">UPH, emitida por el área correspondiente, previa validación por TecNM/DGUTyP.  </t>
    </r>
    <r>
      <rPr>
        <b/>
        <sz val="9"/>
        <rFont val="Montserrat"/>
        <family val="3"/>
      </rPr>
      <t>Para el denominador se solicita la información en los dos periodos y se cierra el ciclo con la última información reportada.</t>
    </r>
  </si>
  <si>
    <r>
      <t xml:space="preserve">Para </t>
    </r>
    <r>
      <rPr>
        <b/>
        <sz val="9"/>
        <rFont val="Montserrat"/>
        <family val="3"/>
      </rPr>
      <t>el numerador considerar matrícula  oficial de inicio del ciclo a reportar</t>
    </r>
    <r>
      <rPr>
        <sz val="9"/>
        <rFont val="Montserrat"/>
        <family val="3"/>
      </rPr>
      <t>, para</t>
    </r>
    <r>
      <rPr>
        <b/>
        <sz val="9"/>
        <rFont val="Montserrat"/>
        <family val="3"/>
      </rPr>
      <t xml:space="preserve"> el denominador el total de personal administrativo reportado en el primer period</t>
    </r>
    <r>
      <rPr>
        <sz val="9"/>
        <rFont val="Montserrat"/>
        <family val="3"/>
      </rPr>
      <t>o del ciclo escolar a reportar.</t>
    </r>
  </si>
  <si>
    <r>
      <t xml:space="preserve">Existen dos periodos de solicitud de la información, en los ITS y </t>
    </r>
    <r>
      <rPr>
        <b/>
        <sz val="9"/>
        <rFont val="Montserrat"/>
        <family val="3"/>
      </rPr>
      <t xml:space="preserve">tres períodos para las IT'S </t>
    </r>
    <r>
      <rPr>
        <sz val="9"/>
        <rFont val="Montserrat"/>
        <family val="3"/>
      </rPr>
      <t xml:space="preserve">y UPH.  En el numerador al cierre del ciclo se deberán sumar los Profesores Investigadores de la Institución registrados en el  S.N.I. en ambos periodos del ciclo escolar, verificando que no se dupliquen. </t>
    </r>
    <r>
      <rPr>
        <b/>
        <sz val="9"/>
        <rFont val="Montserrat"/>
        <family val="3"/>
      </rPr>
      <t>El denominador solo se calcula al inicio del ciclo escolar</t>
    </r>
    <r>
      <rPr>
        <sz val="9"/>
        <rFont val="Montserrat"/>
        <family val="3"/>
      </rPr>
      <t xml:space="preserve"> (Agosto para los ITS Septiembre para las UT'S) y se mantiene igual todo el ciclo escolar.           </t>
    </r>
  </si>
  <si>
    <r>
      <t xml:space="preserve">Existen dos </t>
    </r>
    <r>
      <rPr>
        <b/>
        <sz val="9"/>
        <rFont val="Montserrat"/>
        <family val="3"/>
      </rPr>
      <t>periodos de solicitud de la información</t>
    </r>
    <r>
      <rPr>
        <sz val="9"/>
        <rFont val="Montserrat"/>
        <family val="3"/>
      </rPr>
      <t xml:space="preserve"> para los ITS y tres para las UT's, UPH. Al cierre del ciclo se van a </t>
    </r>
    <r>
      <rPr>
        <b/>
        <sz val="9"/>
        <rFont val="Montserrat"/>
        <family val="3"/>
      </rPr>
      <t>sumar los estudiantes becarios de todos los periodos</t>
    </r>
    <r>
      <rPr>
        <sz val="9"/>
        <rFont val="Montserrat"/>
        <family val="3"/>
      </rPr>
      <t xml:space="preserve"> del ciclo escolar. Verificar que no se dupliquen los alumnos beneficiados durante el ciclo escolar.</t>
    </r>
  </si>
  <si>
    <r>
      <t xml:space="preserve">Existen dos </t>
    </r>
    <r>
      <rPr>
        <b/>
        <sz val="9"/>
        <rFont val="Montserrat"/>
        <family val="3"/>
      </rPr>
      <t>periodos de solicitud de la información</t>
    </r>
    <r>
      <rPr>
        <sz val="9"/>
        <rFont val="Montserrat"/>
        <family val="3"/>
      </rPr>
      <t xml:space="preserve"> para los ITS y</t>
    </r>
    <r>
      <rPr>
        <b/>
        <sz val="9"/>
        <rFont val="Montserrat"/>
        <family val="3"/>
      </rPr>
      <t xml:space="preserve"> tres para las UT's,</t>
    </r>
    <r>
      <rPr>
        <sz val="9"/>
        <rFont val="Montserrat"/>
        <family val="3"/>
      </rPr>
      <t xml:space="preserve"> UPH. Al cierre del ciclo </t>
    </r>
    <r>
      <rPr>
        <b/>
        <sz val="9"/>
        <rFont val="Montserrat"/>
        <family val="3"/>
      </rPr>
      <t>se suman los titulados  y egresados de todos los periodos</t>
    </r>
    <r>
      <rPr>
        <sz val="9"/>
        <rFont val="Montserrat"/>
        <family val="3"/>
      </rPr>
      <t xml:space="preserve"> del ciclo escolar. </t>
    </r>
    <r>
      <rPr>
        <b/>
        <sz val="9"/>
        <rFont val="Montserrat"/>
        <family val="3"/>
      </rPr>
      <t>No importa de que generación sean los egresados, solo que hayan logrado titularse</t>
    </r>
    <r>
      <rPr>
        <sz val="9"/>
        <rFont val="Montserrat"/>
        <family val="3"/>
      </rPr>
      <t xml:space="preserve"> durante el ciclo escolar a reportar. </t>
    </r>
  </si>
  <si>
    <r>
      <t xml:space="preserve">Existen dos </t>
    </r>
    <r>
      <rPr>
        <b/>
        <sz val="9"/>
        <rFont val="Montserrat"/>
        <family val="3"/>
      </rPr>
      <t>periodos de solicitud de la información</t>
    </r>
    <r>
      <rPr>
        <sz val="9"/>
        <rFont val="Montserrat"/>
        <family val="3"/>
      </rPr>
      <t xml:space="preserve"> para los ITS y </t>
    </r>
    <r>
      <rPr>
        <b/>
        <sz val="9"/>
        <rFont val="Montserrat"/>
        <family val="3"/>
      </rPr>
      <t>tres para las UT's</t>
    </r>
    <r>
      <rPr>
        <sz val="9"/>
        <rFont val="Montserrat"/>
        <family val="3"/>
      </rPr>
      <t xml:space="preserve">, UPH.  Para el calculo por ciclo se deberán </t>
    </r>
    <r>
      <rPr>
        <b/>
        <sz val="9"/>
        <rFont val="Montserrat"/>
        <family val="3"/>
      </rPr>
      <t>sumar los Estudiantes reprobados en las materias y Estudiantes inscritos en las materias en todos los  periodos del ciclo escolar</t>
    </r>
    <r>
      <rPr>
        <sz val="9"/>
        <rFont val="Montserrat"/>
        <family val="3"/>
      </rPr>
      <t xml:space="preserve"> y el resultado multiplicarlo por cien.</t>
    </r>
  </si>
  <si>
    <r>
      <t xml:space="preserve">Existen dos </t>
    </r>
    <r>
      <rPr>
        <b/>
        <sz val="9"/>
        <rFont val="Montserrat"/>
        <family val="3"/>
      </rPr>
      <t>periodos de solicitud de la información</t>
    </r>
    <r>
      <rPr>
        <sz val="9"/>
        <rFont val="Montserrat"/>
        <family val="3"/>
      </rPr>
      <t xml:space="preserve"> para los ITS y </t>
    </r>
    <r>
      <rPr>
        <b/>
        <sz val="9"/>
        <rFont val="Montserrat"/>
        <family val="3"/>
      </rPr>
      <t>tres para las UT's</t>
    </r>
    <r>
      <rPr>
        <sz val="9"/>
        <rFont val="Montserrat"/>
        <family val="3"/>
      </rPr>
      <t xml:space="preserve">, UPH. Al cierre del ciclo se van a </t>
    </r>
    <r>
      <rPr>
        <b/>
        <sz val="9"/>
        <rFont val="Montserrat"/>
        <family val="3"/>
      </rPr>
      <t>sumar los titulados de ambos periodos del ciclo escolar.</t>
    </r>
    <r>
      <rPr>
        <sz val="9"/>
        <rFont val="Montserrat"/>
        <family val="3"/>
      </rPr>
      <t xml:space="preserve"> </t>
    </r>
    <r>
      <rPr>
        <b/>
        <sz val="9"/>
        <rFont val="Montserrat"/>
        <family val="3"/>
      </rPr>
      <t>La generación que se monitorea debe ser la misma todo el ciclo escolar</t>
    </r>
    <r>
      <rPr>
        <sz val="9"/>
        <rFont val="Montserrat"/>
        <family val="3"/>
      </rPr>
      <t>, en el ejemplo los titulados que ingresaron en el 2017. De agosto de 2023 a Julio de 2024, se dará el seguimiento a todos los titulados que ingresaron en la generación 2017 y así sucesivamente.</t>
    </r>
  </si>
  <si>
    <r>
      <rPr>
        <b/>
        <sz val="9"/>
        <rFont val="Montserrat"/>
        <family val="3"/>
      </rPr>
      <t>En el numerador se verifican las listas de docentes capacitados en todos los periodos del ciclo escolar</t>
    </r>
    <r>
      <rPr>
        <sz val="9"/>
        <rFont val="Montserrat"/>
        <family val="3"/>
      </rPr>
      <t xml:space="preserve">, verificando que no se dupliquen. </t>
    </r>
    <r>
      <rPr>
        <b/>
        <sz val="9"/>
        <rFont val="Montserrat"/>
        <family val="3"/>
      </rPr>
      <t xml:space="preserve">El denominador solo se calcula al inicio del ciclo escolar </t>
    </r>
    <r>
      <rPr>
        <sz val="9"/>
        <rFont val="Montserrat"/>
        <family val="3"/>
      </rPr>
      <t xml:space="preserve"> y se mantiene igual todo el ciclo escolar.</t>
    </r>
  </si>
  <si>
    <r>
      <rPr>
        <b/>
        <sz val="9"/>
        <rFont val="Montserrat"/>
        <family val="3"/>
      </rPr>
      <t>En el numerador se verifican las listas de docentes capacitados en todos los periodos del ciclo escolar</t>
    </r>
    <r>
      <rPr>
        <sz val="9"/>
        <rFont val="Montserrat"/>
        <family val="3"/>
      </rPr>
      <t xml:space="preserve">, verificando que no se dupliquen. </t>
    </r>
    <r>
      <rPr>
        <b/>
        <sz val="9"/>
        <rFont val="Montserrat"/>
        <family val="3"/>
      </rPr>
      <t xml:space="preserve">El denominador solo se calcula al inicio del ciclo escolar </t>
    </r>
    <r>
      <rPr>
        <sz val="9"/>
        <rFont val="Montserrat"/>
        <family val="3"/>
      </rPr>
      <t xml:space="preserve">y se mantiene igual todo el ciclo escolar.                              </t>
    </r>
  </si>
  <si>
    <r>
      <rPr>
        <b/>
        <sz val="9"/>
        <rFont val="Montserrat"/>
        <family val="3"/>
      </rPr>
      <t>En el numerador se integra la información recopilada en todos los periodos del ciclo escolar</t>
    </r>
    <r>
      <rPr>
        <sz val="9"/>
        <rFont val="Montserrat"/>
        <family val="3"/>
      </rPr>
      <t xml:space="preserve">, verificando que no se duplique. </t>
    </r>
    <r>
      <rPr>
        <b/>
        <sz val="9"/>
        <rFont val="Montserrat"/>
        <family val="3"/>
      </rPr>
      <t xml:space="preserve">El denominador solo se calcula al inicio del ciclo escolar </t>
    </r>
    <r>
      <rPr>
        <sz val="9"/>
        <rFont val="Montserrat"/>
        <family val="3"/>
      </rPr>
      <t xml:space="preserve">y se mantiene igual todo el ciclo escolar.  </t>
    </r>
  </si>
  <si>
    <r>
      <rPr>
        <b/>
        <sz val="9"/>
        <rFont val="Montserrat"/>
        <family val="3"/>
      </rPr>
      <t>El numerador se calcula en el primer periodo del ciclo escolar,</t>
    </r>
    <r>
      <rPr>
        <sz val="9"/>
        <rFont val="Montserrat"/>
        <family val="3"/>
      </rPr>
      <t xml:space="preserve">  con los datos proporcionados en la evaluación de noviembre y en el segundo periodo del ciclo escolar con la evaluación de mayo.</t>
    </r>
    <r>
      <rPr>
        <b/>
        <sz val="9"/>
        <rFont val="Montserrat"/>
        <family val="3"/>
      </rPr>
      <t xml:space="preserve"> El denominador solo se calcula al inicio del ciclo escolar</t>
    </r>
    <r>
      <rPr>
        <sz val="9"/>
        <rFont val="Montserrat"/>
        <family val="3"/>
      </rPr>
      <t xml:space="preserve">  y se mantiene igual todo el ciclo escolar.        </t>
    </r>
  </si>
  <si>
    <r>
      <t>Existen dos periodos de solicitud de la información para los ITS y</t>
    </r>
    <r>
      <rPr>
        <b/>
        <sz val="9"/>
        <rFont val="Montserrat"/>
        <family val="3"/>
      </rPr>
      <t xml:space="preserve"> tres periodos para las UT's</t>
    </r>
    <r>
      <rPr>
        <sz val="9"/>
        <rFont val="Montserrat"/>
        <family val="3"/>
      </rPr>
      <t xml:space="preserve">, UPH.  </t>
    </r>
    <r>
      <rPr>
        <b/>
        <sz val="9"/>
        <rFont val="Montserrat"/>
        <family val="3"/>
      </rPr>
      <t>En el numerador al cierre del ciclo se deberán sumar los alumnos participantes en Proyectos de Investigacion en ambos periodos del ciclo escolar.</t>
    </r>
    <r>
      <rPr>
        <sz val="9"/>
        <rFont val="Montserrat"/>
        <family val="3"/>
      </rPr>
      <t xml:space="preserve"> (Si un alumno se encuentra participando en varios proyectos, considerarlo una sola vez).   </t>
    </r>
    <r>
      <rPr>
        <b/>
        <sz val="9"/>
        <rFont val="Montserrat"/>
        <family val="3"/>
      </rPr>
      <t xml:space="preserve">El denominador solo se calcula al inicio del ciclo escolar </t>
    </r>
    <r>
      <rPr>
        <sz val="9"/>
        <rFont val="Montserrat"/>
        <family val="3"/>
      </rPr>
      <t xml:space="preserve">(Agosto para los ITS, </t>
    </r>
    <r>
      <rPr>
        <b/>
        <sz val="9"/>
        <rFont val="Montserrat"/>
        <family val="3"/>
      </rPr>
      <t xml:space="preserve">Septiembre para las UT'S, </t>
    </r>
    <r>
      <rPr>
        <sz val="9"/>
        <rFont val="Montserrat"/>
        <family val="3"/>
      </rPr>
      <t xml:space="preserve">UPH) y se mantiene igual todo el ciclo escolar.           </t>
    </r>
  </si>
  <si>
    <r>
      <t>Existen dos periodos de solicitud de la información para los ITS y</t>
    </r>
    <r>
      <rPr>
        <b/>
        <sz val="9"/>
        <rFont val="Montserrat"/>
        <family val="3"/>
      </rPr>
      <t xml:space="preserve"> Tres para las UT's,</t>
    </r>
    <r>
      <rPr>
        <sz val="9"/>
        <rFont val="Montserrat"/>
        <family val="3"/>
      </rPr>
      <t xml:space="preserve"> UPH. </t>
    </r>
    <r>
      <rPr>
        <b/>
        <sz val="9"/>
        <rFont val="Montserrat"/>
        <family val="3"/>
      </rPr>
      <t>En el numerador al cierre del ciclo se deberán sumar los docentes participantes en Proyectos de Investigacion en ambos periodos del ciclo escolar</t>
    </r>
    <r>
      <rPr>
        <sz val="9"/>
        <rFont val="Montserrat"/>
        <family val="3"/>
      </rPr>
      <t xml:space="preserve">. (Si un docente se encuentra participando en varios proyectos, considerarlo una sola vez).   </t>
    </r>
    <r>
      <rPr>
        <b/>
        <sz val="9"/>
        <rFont val="Montserrat"/>
        <family val="3"/>
      </rPr>
      <t xml:space="preserve">El denominador solo se calcula al inicio del ciclo escolar </t>
    </r>
    <r>
      <rPr>
        <sz val="9"/>
        <rFont val="Montserrat"/>
        <family val="3"/>
      </rPr>
      <t xml:space="preserve"> y se mantiene igual todo el ciclo escolar.     </t>
    </r>
  </si>
  <si>
    <t>INDICADORES INSTITUCIONALES BÁSICOS  CICLO ESCOLAR 2023-2024
(De septiembre 2023-agosto 2024)</t>
  </si>
  <si>
    <t>INDICADORES INSTITUCIONALES BÁSICOS CICLO ESCOLAR 2024-2025
(De septiembre-diciembre 2024)</t>
  </si>
  <si>
    <t>UTCV 
2023-2024</t>
  </si>
  <si>
    <t>Matrícula= 6,844 (Sep-Dic 2024)</t>
  </si>
  <si>
    <t>POSGRADO</t>
  </si>
  <si>
    <t xml:space="preserve"> ATENCIÓN A LA DEMANDA EN POSGRADO</t>
  </si>
  <si>
    <t>NOTA: EN CASO DE QUE NO APLIQUE UN INDICADOR, SE DEBE ESPECIFICAR PONIENDO: "NO APLICA".</t>
  </si>
  <si>
    <t>Matrícula= 6,844 (Sep-Dic 2024)
TSU=4,520
LIC=2,318
MAESTRÍA=6</t>
  </si>
  <si>
    <t>N/A</t>
  </si>
  <si>
    <t>INDICADORES INSTITUCIONALES BÁSICOS CICLO ESCOLAR 2024-2025
(De septiembre 2024-agosto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</si>
</sst>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2]* #,##0.00_-;\-[$€-2]* #,##0.00_-;_-[$€-2]* &quot;-&quot;??_-"/>
    <numFmt numFmtId="165" formatCode="[$$-80A]#,##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name val="Arial"/>
      <family val="2"/>
    </font>
    <font>
      <sz val="12"/>
      <name val="Arial"/>
      <family val="2"/>
    </font>
    <font>
      <b/>
      <sz val="16"/>
      <name val="Arial"/>
      <family val="2"/>
    </font>
    <font>
      <b/>
      <sz val="14"/>
      <name val="Arial"/>
      <family val="2"/>
    </font>
    <font>
      <b/>
      <sz val="10"/>
      <name val="Arial"/>
      <family val="2"/>
    </font>
    <font>
      <sz val="10"/>
      <name val="Arial"/>
      <family val="2"/>
    </font>
    <font>
      <sz val="10"/>
      <color indexed="8"/>
      <name val="Arial"/>
      <family val="2"/>
    </font>
    <font>
      <b/>
      <sz val="9"/>
      <color indexed="81"/>
      <name val="Tahoma"/>
      <family val="2"/>
    </font>
    <font>
      <b/>
      <sz val="11"/>
      <color indexed="81"/>
      <name val="Tahoma"/>
      <family val="2"/>
    </font>
    <font>
      <sz val="10"/>
      <name val="Arial"/>
      <family val="2"/>
    </font>
    <font>
      <b/>
      <sz val="12"/>
      <color indexed="8"/>
      <name val="Arial"/>
      <family val="2"/>
    </font>
    <font>
      <b/>
      <sz val="9"/>
      <name val="Arial"/>
      <family val="2"/>
    </font>
    <font>
      <b/>
      <sz val="22"/>
      <name val="Arial"/>
      <family val="2"/>
    </font>
    <font>
      <b/>
      <sz val="20"/>
      <name val="Arial"/>
      <family val="2"/>
    </font>
    <font>
      <b/>
      <sz val="12"/>
      <name val="Arial"/>
      <family val="2"/>
    </font>
    <font>
      <b/>
      <sz val="13"/>
      <name val="Arial"/>
      <family val="2"/>
    </font>
    <font>
      <b/>
      <sz val="8"/>
      <name val="Arial"/>
      <family val="2"/>
    </font>
    <font>
      <sz val="8"/>
      <name val="Arial"/>
      <family val="2"/>
    </font>
    <font>
      <u/>
      <sz val="10"/>
      <name val="Arial"/>
      <family val="2"/>
    </font>
    <font>
      <sz val="14"/>
      <color indexed="8"/>
      <name val="Arial"/>
      <family val="2"/>
    </font>
    <font>
      <b/>
      <sz val="10"/>
      <color theme="1"/>
      <name val="Arial"/>
      <family val="2"/>
    </font>
    <font>
      <sz val="10"/>
      <color theme="1"/>
      <name val="Arial"/>
      <family val="2"/>
    </font>
    <font>
      <b/>
      <sz val="11"/>
      <name val="Arial"/>
      <family val="2"/>
    </font>
    <font>
      <sz val="9"/>
      <color indexed="81"/>
      <name val="Tahoma"/>
      <family val="2"/>
    </font>
    <font>
      <b/>
      <sz val="10"/>
      <name val="Montserrat"/>
      <family val="3"/>
    </font>
    <font>
      <sz val="14"/>
      <name val="Montserrat"/>
      <family val="3"/>
    </font>
    <font>
      <sz val="10"/>
      <name val="Montserrat"/>
      <family val="3"/>
    </font>
    <font>
      <b/>
      <sz val="16"/>
      <name val="Montserrat"/>
      <family val="3"/>
    </font>
    <font>
      <b/>
      <sz val="14"/>
      <name val="Montserrat"/>
      <family val="3"/>
    </font>
    <font>
      <b/>
      <sz val="12"/>
      <color indexed="8"/>
      <name val="Montserrat"/>
      <family val="3"/>
    </font>
    <font>
      <b/>
      <sz val="10"/>
      <color rgb="FFFF0000"/>
      <name val="Montserrat"/>
      <family val="3"/>
    </font>
    <font>
      <b/>
      <sz val="10"/>
      <color theme="1"/>
      <name val="Montserrat"/>
      <family val="3"/>
    </font>
    <font>
      <sz val="9"/>
      <name val="Montserrat"/>
      <family val="3"/>
    </font>
    <font>
      <b/>
      <sz val="10"/>
      <color rgb="FF000000"/>
      <name val="Montserrat"/>
      <family val="3"/>
    </font>
    <font>
      <b/>
      <u/>
      <sz val="10"/>
      <name val="Montserrat"/>
      <family val="3"/>
    </font>
    <font>
      <sz val="10"/>
      <color rgb="FFFF0000"/>
      <name val="Montserrat"/>
      <family val="3"/>
    </font>
    <font>
      <sz val="18"/>
      <color rgb="FFFF0000"/>
      <name val="Montserrat"/>
      <family val="3"/>
    </font>
    <font>
      <b/>
      <sz val="9"/>
      <color rgb="FFFF0000"/>
      <name val="Montserrat"/>
      <family val="3"/>
    </font>
    <font>
      <b/>
      <sz val="11"/>
      <color rgb="FFFF0000"/>
      <name val="Montserrat"/>
      <family val="3"/>
    </font>
    <font>
      <sz val="8"/>
      <color rgb="FF202124"/>
      <name val="Montserrat"/>
      <family val="3"/>
    </font>
    <font>
      <b/>
      <sz val="10"/>
      <color rgb="FFFF0000"/>
      <name val="Arial"/>
      <family val="2"/>
    </font>
    <font>
      <b/>
      <sz val="10"/>
      <color rgb="FF000000"/>
      <name val="Arial"/>
      <family val="2"/>
    </font>
    <font>
      <sz val="8"/>
      <color rgb="FF202124"/>
      <name val="Arial"/>
      <family val="2"/>
    </font>
    <font>
      <b/>
      <u/>
      <sz val="10"/>
      <name val="Arial"/>
      <family val="2"/>
    </font>
    <font>
      <sz val="9"/>
      <name val="Arial"/>
      <family val="2"/>
    </font>
    <font>
      <b/>
      <sz val="9"/>
      <color indexed="81"/>
      <name val="Tahoma"/>
      <charset val="1"/>
    </font>
    <font>
      <b/>
      <sz val="9"/>
      <name val="Montserrat"/>
      <family val="3"/>
    </font>
    <font>
      <sz val="9"/>
      <color indexed="81"/>
      <name val="Tahoma"/>
      <charset val="1"/>
    </font>
    <font>
      <b/>
      <sz val="10"/>
      <name val="Montserrat"/>
      <family val="3"/>
      <charset val="1"/>
    </font>
    <font>
      <b/>
      <sz val="10"/>
      <color theme="1"/>
      <name val="Montserrat"/>
      <family val="3"/>
      <charset val="1"/>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00FFFF"/>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rgb="FF00FF00"/>
        <bgColor indexed="64"/>
      </patternFill>
    </fill>
    <fill>
      <patternFill patternType="solid">
        <fgColor rgb="FF00FFCC"/>
        <bgColor indexed="64"/>
      </patternFill>
    </fill>
    <fill>
      <patternFill patternType="solid">
        <fgColor theme="9" tint="0.39997558519241921"/>
        <bgColor indexed="64"/>
      </patternFill>
    </fill>
    <fill>
      <patternFill patternType="solid">
        <fgColor rgb="FF66FFFF"/>
        <bgColor indexed="64"/>
      </patternFill>
    </fill>
    <fill>
      <patternFill patternType="solid">
        <fgColor rgb="FFCCFFCC"/>
        <bgColor indexed="64"/>
      </patternFill>
    </fill>
    <fill>
      <patternFill patternType="solid">
        <fgColor rgb="FFCCFF33"/>
        <bgColor indexed="64"/>
      </patternFill>
    </fill>
    <fill>
      <patternFill patternType="solid">
        <fgColor rgb="FFFF99CC"/>
        <bgColor indexed="64"/>
      </patternFill>
    </fill>
    <fill>
      <patternFill patternType="solid">
        <fgColor rgb="FF66FFFF"/>
        <bgColor rgb="FFCCFFFF"/>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theme="0"/>
      </top>
      <bottom style="thin">
        <color indexed="64"/>
      </bottom>
      <diagonal/>
    </border>
    <border>
      <left style="thin">
        <color indexed="64"/>
      </left>
      <right style="thin">
        <color indexed="64"/>
      </right>
      <top/>
      <bottom/>
      <diagonal/>
    </border>
  </borders>
  <cellStyleXfs count="34">
    <xf numFmtId="0" fontId="0" fillId="0" borderId="0"/>
    <xf numFmtId="0" fontId="11" fillId="0" borderId="0">
      <alignment horizontal="center" vertical="top" wrapText="1"/>
    </xf>
    <xf numFmtId="164" fontId="15" fillId="0" borderId="0" applyFont="0" applyFill="0" applyBorder="0" applyAlignment="0" applyProtection="0"/>
    <xf numFmtId="0" fontId="9" fillId="0" borderId="0"/>
    <xf numFmtId="0" fontId="9" fillId="0" borderId="0"/>
    <xf numFmtId="0" fontId="16" fillId="0" borderId="0">
      <alignment vertical="top"/>
    </xf>
    <xf numFmtId="0" fontId="9" fillId="0" borderId="0"/>
    <xf numFmtId="0" fontId="15" fillId="0" borderId="0"/>
    <xf numFmtId="0" fontId="9" fillId="0" borderId="0"/>
    <xf numFmtId="0" fontId="8" fillId="0" borderId="0"/>
    <xf numFmtId="9" fontId="19" fillId="0" borderId="0" applyFont="0" applyFill="0" applyBorder="0" applyAlignment="0" applyProtection="0"/>
    <xf numFmtId="0" fontId="7" fillId="0" borderId="0"/>
    <xf numFmtId="0" fontId="6" fillId="0" borderId="0"/>
    <xf numFmtId="0" fontId="1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9" fontId="15" fillId="0" borderId="0" applyFont="0" applyFill="0" applyBorder="0" applyAlignment="0" applyProtection="0"/>
  </cellStyleXfs>
  <cellXfs count="311">
    <xf numFmtId="0" fontId="0" fillId="0" borderId="0" xfId="0"/>
    <xf numFmtId="0" fontId="0" fillId="0" borderId="0" xfId="0" applyAlignment="1">
      <alignment vertical="center"/>
    </xf>
    <xf numFmtId="0" fontId="0" fillId="5" borderId="0" xfId="0" applyFill="1"/>
    <xf numFmtId="0" fontId="23" fillId="5" borderId="8" xfId="0" applyFont="1" applyFill="1" applyBorder="1" applyAlignment="1">
      <alignment vertical="center"/>
    </xf>
    <xf numFmtId="0" fontId="20" fillId="2" borderId="8" xfId="0" applyFont="1" applyFill="1" applyBorder="1" applyAlignment="1">
      <alignment vertical="center" wrapText="1"/>
    </xf>
    <xf numFmtId="0" fontId="20" fillId="5" borderId="8" xfId="0" applyFont="1" applyFill="1" applyBorder="1" applyAlignment="1">
      <alignment vertical="center" wrapText="1"/>
    </xf>
    <xf numFmtId="0" fontId="15" fillId="0" borderId="0" xfId="0" applyFont="1"/>
    <xf numFmtId="0" fontId="21" fillId="0" borderId="4" xfId="0" applyFont="1" applyFill="1" applyBorder="1" applyAlignment="1">
      <alignment horizontal="center" vertical="center" wrapText="1"/>
    </xf>
    <xf numFmtId="0" fontId="27" fillId="2" borderId="0" xfId="0" applyFont="1" applyFill="1"/>
    <xf numFmtId="0" fontId="26" fillId="2" borderId="0" xfId="0" applyFont="1" applyFill="1" applyAlignment="1">
      <alignment horizontal="center" vertical="center" wrapText="1"/>
    </xf>
    <xf numFmtId="0" fontId="27" fillId="0" borderId="0" xfId="0" applyFont="1"/>
    <xf numFmtId="0" fontId="26" fillId="5" borderId="0" xfId="0" applyFont="1" applyFill="1" applyBorder="1" applyAlignment="1">
      <alignment horizontal="center" vertical="center" wrapText="1"/>
    </xf>
    <xf numFmtId="0" fontId="13" fillId="0" borderId="4" xfId="0" applyFont="1" applyBorder="1" applyAlignment="1">
      <alignment horizontal="right" vertical="center" wrapText="1" indent="4"/>
    </xf>
    <xf numFmtId="0" fontId="24" fillId="8" borderId="4" xfId="0" applyFont="1" applyFill="1" applyBorder="1" applyAlignment="1">
      <alignment horizontal="centerContinuous" vertical="center" wrapText="1"/>
    </xf>
    <xf numFmtId="0" fontId="25" fillId="8" borderId="4" xfId="0" applyFont="1" applyFill="1" applyBorder="1" applyAlignment="1">
      <alignment horizontal="center" vertical="center" wrapText="1"/>
    </xf>
    <xf numFmtId="0" fontId="15" fillId="0" borderId="13" xfId="0" applyFont="1" applyFill="1" applyBorder="1" applyAlignment="1">
      <alignment horizontal="justify" vertical="center" wrapText="1"/>
    </xf>
    <xf numFmtId="0" fontId="15" fillId="0" borderId="4" xfId="0" applyFont="1" applyBorder="1" applyAlignment="1">
      <alignment horizontal="center" vertical="center" wrapText="1"/>
    </xf>
    <xf numFmtId="0" fontId="31" fillId="0" borderId="4" xfId="0" applyFont="1" applyFill="1" applyBorder="1" applyAlignment="1">
      <alignment vertical="center"/>
    </xf>
    <xf numFmtId="3" fontId="32" fillId="0" borderId="4" xfId="0" applyNumberFormat="1" applyFont="1" applyFill="1" applyBorder="1" applyAlignment="1">
      <alignment horizontal="center" vertical="center" wrapText="1"/>
    </xf>
    <xf numFmtId="0" fontId="14" fillId="0" borderId="4" xfId="0" applyFont="1" applyFill="1" applyBorder="1" applyAlignment="1">
      <alignment horizontal="justify" vertical="center" wrapText="1"/>
    </xf>
    <xf numFmtId="3" fontId="32" fillId="5" borderId="4"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4" fillId="2" borderId="0" xfId="0" applyFont="1" applyFill="1" applyAlignment="1">
      <alignment horizontal="center" vertical="center" wrapText="1"/>
    </xf>
    <xf numFmtId="3" fontId="14" fillId="5" borderId="0" xfId="0" applyNumberFormat="1" applyFont="1" applyFill="1" applyAlignment="1">
      <alignment horizontal="center" vertical="center"/>
    </xf>
    <xf numFmtId="0" fontId="14" fillId="5" borderId="0" xfId="0" applyFont="1" applyFill="1" applyAlignment="1">
      <alignment horizontal="center" vertical="center"/>
    </xf>
    <xf numFmtId="0" fontId="28" fillId="0" borderId="0" xfId="0" applyFont="1" applyAlignment="1">
      <alignment horizontal="center" wrapText="1"/>
    </xf>
    <xf numFmtId="0" fontId="13" fillId="5" borderId="0" xfId="0" applyFont="1" applyFill="1" applyBorder="1" applyAlignment="1">
      <alignment horizontal="center" vertical="center" wrapText="1"/>
    </xf>
    <xf numFmtId="0" fontId="27" fillId="2" borderId="0" xfId="0" applyFont="1" applyFill="1" applyAlignment="1">
      <alignment vertical="top"/>
    </xf>
    <xf numFmtId="0" fontId="30" fillId="0" borderId="9" xfId="0" applyFont="1" applyBorder="1" applyAlignment="1">
      <alignment horizontal="center" vertical="top" wrapText="1"/>
    </xf>
    <xf numFmtId="0" fontId="13"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26" fillId="5" borderId="0" xfId="0" applyFont="1" applyFill="1" applyBorder="1" applyAlignment="1">
      <alignment horizontal="center" vertical="top" wrapText="1"/>
    </xf>
    <xf numFmtId="0" fontId="27" fillId="0" borderId="0" xfId="0" applyFont="1" applyAlignment="1">
      <alignment vertical="top"/>
    </xf>
    <xf numFmtId="0" fontId="26" fillId="2" borderId="0" xfId="0" applyFont="1" applyFill="1" applyBorder="1" applyAlignment="1">
      <alignment horizontal="center" vertical="center" wrapText="1"/>
    </xf>
    <xf numFmtId="0" fontId="25" fillId="8" borderId="4" xfId="0" applyFont="1" applyFill="1" applyBorder="1" applyAlignment="1">
      <alignment vertical="center" wrapText="1"/>
    </xf>
    <xf numFmtId="0" fontId="25" fillId="8" borderId="6" xfId="0" applyFont="1" applyFill="1" applyBorder="1" applyAlignment="1">
      <alignment vertical="center" wrapText="1"/>
    </xf>
    <xf numFmtId="0" fontId="10" fillId="5" borderId="0" xfId="0" applyFont="1" applyFill="1"/>
    <xf numFmtId="0" fontId="10" fillId="0" borderId="0" xfId="0" applyFont="1"/>
    <xf numFmtId="0" fontId="10" fillId="0" borderId="4" xfId="0" pivotButton="1"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xf>
    <xf numFmtId="0" fontId="10" fillId="0" borderId="4" xfId="0" applyNumberFormat="1" applyFont="1" applyBorder="1" applyAlignment="1">
      <alignment horizontal="center"/>
    </xf>
    <xf numFmtId="0" fontId="1" fillId="0" borderId="0" xfId="32"/>
    <xf numFmtId="0" fontId="0" fillId="0" borderId="0" xfId="0" pivotButton="1"/>
    <xf numFmtId="0" fontId="0" fillId="0" borderId="0" xfId="0" applyAlignment="1">
      <alignment horizontal="left"/>
    </xf>
    <xf numFmtId="0" fontId="0" fillId="0" borderId="0" xfId="0" applyFill="1" applyAlignment="1">
      <alignment horizontal="left"/>
    </xf>
    <xf numFmtId="0" fontId="35" fillId="0" borderId="0" xfId="0" applyFont="1" applyFill="1" applyBorder="1" applyAlignment="1">
      <alignment horizontal="left" vertical="center" wrapText="1"/>
    </xf>
    <xf numFmtId="0" fontId="36" fillId="0" borderId="0" xfId="0" applyFont="1" applyFill="1" applyAlignment="1">
      <alignment vertical="center"/>
    </xf>
    <xf numFmtId="0" fontId="36" fillId="5" borderId="0" xfId="0" applyFont="1" applyFill="1" applyAlignment="1">
      <alignment vertical="center"/>
    </xf>
    <xf numFmtId="0" fontId="36" fillId="0" borderId="0" xfId="0" applyFont="1" applyAlignment="1">
      <alignment vertical="center"/>
    </xf>
    <xf numFmtId="0" fontId="39" fillId="6" borderId="4" xfId="1" applyFont="1" applyFill="1" applyBorder="1" applyAlignment="1">
      <alignment horizontal="center" vertical="center" wrapText="1"/>
    </xf>
    <xf numFmtId="0" fontId="34" fillId="4" borderId="4" xfId="1" applyFont="1" applyFill="1" applyBorder="1" applyAlignment="1">
      <alignment horizontal="center" vertical="center" wrapText="1"/>
    </xf>
    <xf numFmtId="3" fontId="40" fillId="3" borderId="4" xfId="1" applyNumberFormat="1" applyFont="1" applyFill="1" applyBorder="1" applyAlignment="1">
      <alignment horizontal="center" vertical="center" wrapText="1"/>
    </xf>
    <xf numFmtId="2" fontId="34" fillId="10" borderId="6" xfId="1" applyNumberFormat="1" applyFont="1" applyFill="1" applyBorder="1" applyAlignment="1">
      <alignment horizontal="center" vertical="center" wrapText="1"/>
    </xf>
    <xf numFmtId="2" fontId="34" fillId="10" borderId="5" xfId="1" applyNumberFormat="1" applyFont="1" applyFill="1" applyBorder="1" applyAlignment="1">
      <alignment horizontal="center" vertical="center" wrapText="1"/>
    </xf>
    <xf numFmtId="0" fontId="34" fillId="10" borderId="6" xfId="0" applyFont="1" applyFill="1" applyBorder="1" applyAlignment="1">
      <alignment horizontal="center" vertical="center"/>
    </xf>
    <xf numFmtId="0" fontId="34" fillId="0" borderId="0" xfId="0" applyFont="1" applyAlignment="1">
      <alignment vertical="center"/>
    </xf>
    <xf numFmtId="0" fontId="36" fillId="2" borderId="0" xfId="0" applyFont="1" applyFill="1" applyAlignment="1">
      <alignment vertical="center"/>
    </xf>
    <xf numFmtId="0" fontId="44" fillId="0" borderId="0" xfId="0" applyFont="1" applyBorder="1" applyAlignment="1">
      <alignment horizontal="center" wrapText="1"/>
    </xf>
    <xf numFmtId="0" fontId="34" fillId="0" borderId="0" xfId="0" applyFont="1" applyAlignment="1">
      <alignment horizontal="center" vertical="center"/>
    </xf>
    <xf numFmtId="0" fontId="45" fillId="5" borderId="0" xfId="0" applyFont="1" applyFill="1" applyAlignment="1">
      <alignment vertical="center"/>
    </xf>
    <xf numFmtId="0" fontId="34" fillId="6" borderId="4" xfId="0" applyFont="1" applyFill="1" applyBorder="1" applyAlignment="1">
      <alignment horizontal="center" vertical="center" wrapText="1"/>
    </xf>
    <xf numFmtId="0" fontId="34" fillId="12" borderId="4" xfId="1" applyFont="1" applyFill="1" applyBorder="1" applyAlignment="1">
      <alignment horizontal="center" vertical="center" wrapText="1"/>
    </xf>
    <xf numFmtId="0" fontId="46" fillId="5" borderId="0" xfId="0" applyFont="1" applyFill="1" applyAlignment="1">
      <alignment vertical="center" wrapText="1"/>
    </xf>
    <xf numFmtId="2" fontId="47" fillId="5" borderId="0" xfId="1" applyNumberFormat="1" applyFont="1" applyFill="1" applyBorder="1" applyAlignment="1">
      <alignment vertical="center" wrapText="1"/>
    </xf>
    <xf numFmtId="2" fontId="34" fillId="5" borderId="6" xfId="1" applyNumberFormat="1" applyFont="1" applyFill="1" applyBorder="1" applyAlignment="1">
      <alignment horizontal="center" vertical="center" wrapText="1"/>
    </xf>
    <xf numFmtId="0" fontId="45" fillId="5" borderId="0" xfId="0" applyFont="1" applyFill="1" applyAlignment="1">
      <alignment vertical="center" wrapText="1"/>
    </xf>
    <xf numFmtId="0" fontId="36" fillId="0" borderId="0" xfId="0" applyFont="1" applyAlignment="1">
      <alignment vertical="center" wrapText="1"/>
    </xf>
    <xf numFmtId="0" fontId="48" fillId="5" borderId="0" xfId="0" applyFont="1" applyFill="1" applyAlignment="1">
      <alignment vertical="center" wrapText="1"/>
    </xf>
    <xf numFmtId="0" fontId="49" fillId="9" borderId="0" xfId="0" applyFont="1" applyFill="1" applyAlignment="1">
      <alignment vertical="top" wrapText="1"/>
    </xf>
    <xf numFmtId="3" fontId="34" fillId="0" borderId="4" xfId="1" applyNumberFormat="1" applyFont="1" applyFill="1" applyBorder="1" applyAlignment="1">
      <alignment horizontal="center" vertical="center" wrapText="1"/>
    </xf>
    <xf numFmtId="3" fontId="34" fillId="0" borderId="11" xfId="0" applyNumberFormat="1" applyFont="1" applyFill="1" applyBorder="1" applyAlignment="1">
      <alignment horizontal="center" vertical="center" wrapText="1"/>
    </xf>
    <xf numFmtId="3" fontId="41" fillId="0" borderId="11" xfId="0" applyNumberFormat="1" applyFont="1" applyFill="1" applyBorder="1" applyAlignment="1">
      <alignment horizontal="center" vertical="center" wrapText="1"/>
    </xf>
    <xf numFmtId="4" fontId="43" fillId="0" borderId="0" xfId="0" applyNumberFormat="1" applyFont="1" applyFill="1" applyAlignment="1">
      <alignment horizontal="center" vertical="center"/>
    </xf>
    <xf numFmtId="3" fontId="14" fillId="0" borderId="4" xfId="1" applyNumberFormat="1" applyFont="1" applyFill="1" applyBorder="1" applyAlignment="1">
      <alignment horizontal="center" vertical="center" wrapText="1"/>
    </xf>
    <xf numFmtId="2" fontId="34" fillId="10" borderId="6" xfId="1" applyNumberFormat="1" applyFont="1" applyFill="1" applyBorder="1" applyAlignment="1">
      <alignment horizontal="center" vertical="center" wrapText="1"/>
    </xf>
    <xf numFmtId="2" fontId="34" fillId="10" borderId="5" xfId="1"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0" fillId="0" borderId="0" xfId="0" applyFill="1" applyAlignment="1">
      <alignment vertical="center"/>
    </xf>
    <xf numFmtId="0" fontId="0" fillId="5" borderId="0" xfId="0" applyFill="1" applyAlignment="1">
      <alignment vertical="center"/>
    </xf>
    <xf numFmtId="0" fontId="20" fillId="6" borderId="4" xfId="1" applyFont="1" applyFill="1" applyBorder="1" applyAlignment="1">
      <alignment horizontal="center" vertical="center" wrapText="1"/>
    </xf>
    <xf numFmtId="0" fontId="14" fillId="4" borderId="4" xfId="1" applyFont="1" applyFill="1" applyBorder="1" applyAlignment="1">
      <alignment horizontal="center" vertical="center" wrapText="1"/>
    </xf>
    <xf numFmtId="3" fontId="14" fillId="5" borderId="4" xfId="1" applyNumberFormat="1" applyFont="1" applyFill="1" applyBorder="1" applyAlignment="1">
      <alignment horizontal="center" vertical="center" wrapText="1"/>
    </xf>
    <xf numFmtId="3" fontId="50" fillId="3" borderId="4" xfId="1" applyNumberFormat="1" applyFont="1" applyFill="1" applyBorder="1" applyAlignment="1">
      <alignment horizontal="center" vertical="center" wrapText="1"/>
    </xf>
    <xf numFmtId="3" fontId="14" fillId="5" borderId="11" xfId="0" applyNumberFormat="1" applyFont="1" applyFill="1" applyBorder="1" applyAlignment="1">
      <alignment horizontal="center" vertical="center" wrapText="1"/>
    </xf>
    <xf numFmtId="3" fontId="30" fillId="5" borderId="11" xfId="0" applyNumberFormat="1" applyFont="1" applyFill="1" applyBorder="1" applyAlignment="1">
      <alignment horizontal="center" vertical="center" wrapText="1"/>
    </xf>
    <xf numFmtId="3" fontId="14" fillId="10" borderId="4" xfId="1" applyNumberFormat="1" applyFont="1" applyFill="1" applyBorder="1" applyAlignment="1">
      <alignment horizontal="center" vertical="center" wrapText="1"/>
    </xf>
    <xf numFmtId="0" fontId="14" fillId="10" borderId="6" xfId="0" applyFont="1" applyFill="1" applyBorder="1" applyAlignment="1">
      <alignment horizontal="center" vertical="center"/>
    </xf>
    <xf numFmtId="2" fontId="14" fillId="10" borderId="5" xfId="1" applyNumberFormat="1" applyFont="1" applyFill="1" applyBorder="1" applyAlignment="1">
      <alignment horizontal="center" vertical="center" wrapText="1"/>
    </xf>
    <xf numFmtId="4" fontId="51" fillId="10" borderId="0" xfId="0" applyNumberFormat="1" applyFont="1" applyFill="1" applyAlignment="1">
      <alignment horizontal="center" vertical="center"/>
    </xf>
    <xf numFmtId="0" fontId="52" fillId="9" borderId="0" xfId="0" applyFont="1" applyFill="1" applyAlignment="1">
      <alignment vertical="top" wrapText="1"/>
    </xf>
    <xf numFmtId="0" fontId="0" fillId="2" borderId="0" xfId="0" applyFill="1" applyAlignment="1">
      <alignment vertical="center"/>
    </xf>
    <xf numFmtId="0" fontId="53" fillId="0" borderId="0" xfId="0" applyFont="1" applyBorder="1" applyAlignment="1">
      <alignment horizontal="center" wrapText="1"/>
    </xf>
    <xf numFmtId="0" fontId="14"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3" fontId="14" fillId="0" borderId="11" xfId="0" applyNumberFormat="1" applyFont="1" applyFill="1" applyBorder="1" applyAlignment="1">
      <alignment horizontal="center" vertical="center" wrapText="1"/>
    </xf>
    <xf numFmtId="3" fontId="30" fillId="0" borderId="11" xfId="0" applyNumberFormat="1" applyFont="1" applyFill="1" applyBorder="1" applyAlignment="1">
      <alignment horizontal="center" vertical="center" wrapText="1"/>
    </xf>
    <xf numFmtId="165" fontId="51" fillId="0" borderId="11" xfId="0" applyNumberFormat="1" applyFont="1" applyFill="1" applyBorder="1" applyAlignment="1">
      <alignment horizontal="center" vertical="center"/>
    </xf>
    <xf numFmtId="4" fontId="51" fillId="0" borderId="11" xfId="0" applyNumberFormat="1" applyFont="1" applyFill="1" applyBorder="1" applyAlignment="1">
      <alignment horizontal="center" vertical="center"/>
    </xf>
    <xf numFmtId="4" fontId="51" fillId="0" borderId="0" xfId="0" applyNumberFormat="1" applyFont="1" applyFill="1" applyAlignment="1">
      <alignment horizontal="center" vertical="center"/>
    </xf>
    <xf numFmtId="0" fontId="10" fillId="0" borderId="0" xfId="13" applyFont="1" applyFill="1" applyBorder="1" applyAlignment="1">
      <alignment horizontal="left" vertical="center" wrapText="1"/>
    </xf>
    <xf numFmtId="0" fontId="15" fillId="0" borderId="0" xfId="13" applyFill="1" applyAlignment="1">
      <alignment vertical="center"/>
    </xf>
    <xf numFmtId="0" fontId="15" fillId="5" borderId="0" xfId="13" applyFill="1" applyAlignment="1">
      <alignment vertical="center"/>
    </xf>
    <xf numFmtId="0" fontId="15" fillId="0" borderId="0" xfId="13" applyAlignment="1">
      <alignment vertical="center"/>
    </xf>
    <xf numFmtId="3" fontId="14" fillId="10" borderId="11" xfId="13" applyNumberFormat="1" applyFont="1" applyFill="1" applyBorder="1" applyAlignment="1">
      <alignment horizontal="center" vertical="center" wrapText="1"/>
    </xf>
    <xf numFmtId="3" fontId="30" fillId="10" borderId="11" xfId="13" applyNumberFormat="1" applyFont="1" applyFill="1" applyBorder="1" applyAlignment="1">
      <alignment horizontal="center" vertical="center" wrapText="1"/>
    </xf>
    <xf numFmtId="165" fontId="51" fillId="10" borderId="11" xfId="13" applyNumberFormat="1" applyFont="1" applyFill="1" applyBorder="1" applyAlignment="1">
      <alignment horizontal="center" vertical="center"/>
    </xf>
    <xf numFmtId="4" fontId="51" fillId="10" borderId="11" xfId="13" applyNumberFormat="1" applyFont="1" applyFill="1" applyBorder="1" applyAlignment="1">
      <alignment horizontal="center" vertical="center"/>
    </xf>
    <xf numFmtId="4" fontId="51" fillId="10" borderId="0" xfId="13" applyNumberFormat="1" applyFont="1" applyFill="1" applyAlignment="1">
      <alignment horizontal="center" vertical="center"/>
    </xf>
    <xf numFmtId="0" fontId="52" fillId="9" borderId="0" xfId="13" applyFont="1" applyFill="1" applyAlignment="1">
      <alignment vertical="top" wrapText="1"/>
    </xf>
    <xf numFmtId="0" fontId="15" fillId="2" borderId="0" xfId="13" applyFill="1" applyAlignment="1">
      <alignment vertical="center"/>
    </xf>
    <xf numFmtId="0" fontId="53" fillId="0" borderId="0" xfId="13" applyFont="1" applyBorder="1" applyAlignment="1">
      <alignment horizontal="center" wrapText="1"/>
    </xf>
    <xf numFmtId="0" fontId="14" fillId="0" borderId="0" xfId="13" applyFont="1" applyAlignment="1">
      <alignment horizontal="center" vertical="center"/>
    </xf>
    <xf numFmtId="0" fontId="14" fillId="0" borderId="0" xfId="13" applyFont="1" applyAlignment="1">
      <alignment vertical="center"/>
    </xf>
    <xf numFmtId="0" fontId="15" fillId="0" borderId="0" xfId="13" applyFont="1" applyAlignment="1">
      <alignment vertical="center"/>
    </xf>
    <xf numFmtId="3" fontId="34" fillId="3" borderId="4" xfId="1" applyNumberFormat="1" applyFont="1" applyFill="1" applyBorder="1" applyAlignment="1">
      <alignment horizontal="center" vertical="center" wrapText="1"/>
    </xf>
    <xf numFmtId="3" fontId="34" fillId="13" borderId="4" xfId="1" applyNumberFormat="1" applyFont="1" applyFill="1" applyBorder="1" applyAlignment="1">
      <alignment horizontal="center" vertical="center" wrapText="1"/>
    </xf>
    <xf numFmtId="3" fontId="14" fillId="13" borderId="4" xfId="1" applyNumberFormat="1" applyFont="1" applyFill="1" applyBorder="1" applyAlignment="1">
      <alignment horizontal="center" vertical="center" wrapText="1"/>
    </xf>
    <xf numFmtId="3" fontId="41" fillId="13" borderId="11" xfId="0" applyNumberFormat="1" applyFont="1" applyFill="1" applyBorder="1" applyAlignment="1">
      <alignment horizontal="center" vertical="center" wrapText="1"/>
    </xf>
    <xf numFmtId="4" fontId="43" fillId="13" borderId="0" xfId="0" applyNumberFormat="1" applyFont="1" applyFill="1" applyAlignment="1">
      <alignment horizontal="center" vertical="center"/>
    </xf>
    <xf numFmtId="3" fontId="34" fillId="13" borderId="11" xfId="0" applyNumberFormat="1" applyFont="1" applyFill="1" applyBorder="1" applyAlignment="1">
      <alignment horizontal="center" vertical="center" wrapText="1"/>
    </xf>
    <xf numFmtId="2" fontId="34" fillId="5" borderId="6" xfId="1" applyNumberFormat="1" applyFont="1" applyFill="1" applyBorder="1" applyAlignment="1">
      <alignment horizontal="center" vertical="center" wrapText="1"/>
    </xf>
    <xf numFmtId="2" fontId="34" fillId="5" borderId="5" xfId="1" applyNumberFormat="1" applyFont="1" applyFill="1" applyBorder="1" applyAlignment="1">
      <alignment horizontal="center" vertical="center" wrapText="1"/>
    </xf>
    <xf numFmtId="2" fontId="34" fillId="5" borderId="6" xfId="1" applyNumberFormat="1" applyFont="1" applyFill="1" applyBorder="1" applyAlignment="1">
      <alignment horizontal="center" vertical="center" wrapText="1"/>
    </xf>
    <xf numFmtId="2" fontId="34" fillId="5" borderId="5" xfId="1" applyNumberFormat="1" applyFont="1" applyFill="1" applyBorder="1" applyAlignment="1">
      <alignment horizontal="center" vertical="center" wrapText="1"/>
    </xf>
    <xf numFmtId="4" fontId="43" fillId="0" borderId="6" xfId="0" applyNumberFormat="1" applyFont="1" applyFill="1" applyBorder="1" applyAlignment="1">
      <alignment horizontal="center" vertical="center"/>
    </xf>
    <xf numFmtId="0" fontId="37" fillId="13" borderId="0" xfId="0" applyFont="1" applyFill="1" applyAlignment="1">
      <alignment vertical="center"/>
    </xf>
    <xf numFmtId="0" fontId="34" fillId="5" borderId="6" xfId="0" applyFont="1" applyFill="1" applyBorder="1" applyAlignment="1">
      <alignment horizontal="center" vertical="center"/>
    </xf>
    <xf numFmtId="0" fontId="38" fillId="7" borderId="0" xfId="0" applyFont="1" applyFill="1" applyAlignment="1">
      <alignment vertical="center" wrapText="1"/>
    </xf>
    <xf numFmtId="0" fontId="38" fillId="15" borderId="0" xfId="0" applyFont="1" applyFill="1" applyAlignment="1">
      <alignment vertical="center" wrapText="1"/>
    </xf>
    <xf numFmtId="0" fontId="36" fillId="0" borderId="0" xfId="0" applyFont="1" applyAlignment="1">
      <alignment horizontal="center" vertical="center"/>
    </xf>
    <xf numFmtId="0" fontId="34" fillId="0" borderId="4" xfId="1" applyFont="1" applyFill="1" applyBorder="1" applyAlignment="1">
      <alignment horizontal="center" vertical="center" wrapText="1"/>
    </xf>
    <xf numFmtId="0" fontId="35" fillId="0" borderId="0" xfId="0" applyFont="1" applyFill="1" applyBorder="1" applyAlignment="1">
      <alignment horizontal="center" vertical="center" wrapText="1"/>
    </xf>
    <xf numFmtId="0" fontId="36" fillId="0" borderId="0" xfId="0" applyFont="1" applyFill="1" applyAlignment="1">
      <alignment horizontal="center" vertical="center"/>
    </xf>
    <xf numFmtId="0" fontId="44" fillId="0" borderId="0" xfId="0" applyFont="1" applyBorder="1" applyAlignment="1">
      <alignment horizontal="center" vertical="center" wrapText="1"/>
    </xf>
    <xf numFmtId="2" fontId="34" fillId="16" borderId="5" xfId="1" applyNumberFormat="1" applyFont="1" applyFill="1" applyBorder="1" applyAlignment="1">
      <alignment horizontal="center" vertical="center" wrapText="1"/>
    </xf>
    <xf numFmtId="3" fontId="34" fillId="14" borderId="4" xfId="1" applyNumberFormat="1" applyFont="1" applyFill="1" applyBorder="1" applyAlignment="1">
      <alignment horizontal="center" vertical="center" wrapText="1"/>
    </xf>
    <xf numFmtId="0" fontId="34" fillId="13" borderId="4" xfId="1" applyFont="1" applyFill="1" applyBorder="1" applyAlignment="1">
      <alignment horizontal="center" vertical="center" wrapText="1"/>
    </xf>
    <xf numFmtId="3" fontId="58" fillId="17" borderId="4" xfId="0" applyNumberFormat="1" applyFont="1" applyFill="1" applyBorder="1" applyAlignment="1">
      <alignment horizontal="center" vertical="center" wrapText="1"/>
    </xf>
    <xf numFmtId="3" fontId="59" fillId="17" borderId="4" xfId="0" applyNumberFormat="1" applyFont="1" applyFill="1" applyBorder="1" applyAlignment="1">
      <alignment horizontal="center" vertical="center" wrapText="1"/>
    </xf>
    <xf numFmtId="0" fontId="22" fillId="5" borderId="0" xfId="0" applyFont="1" applyFill="1" applyAlignment="1">
      <alignment horizontal="center" vertical="center"/>
    </xf>
    <xf numFmtId="0" fontId="29" fillId="2" borderId="8" xfId="0" applyFont="1" applyFill="1" applyBorder="1" applyAlignment="1">
      <alignment horizontal="left" vertical="center" wrapText="1"/>
    </xf>
    <xf numFmtId="0" fontId="25" fillId="8" borderId="4"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13" fillId="0" borderId="4" xfId="0" applyFont="1" applyBorder="1" applyAlignment="1">
      <alignment horizontal="right" vertical="center" wrapText="1" indent="4"/>
    </xf>
    <xf numFmtId="0" fontId="13" fillId="5" borderId="0" xfId="0" applyFont="1" applyFill="1" applyAlignment="1">
      <alignment horizontal="center" vertical="center" wrapText="1"/>
    </xf>
    <xf numFmtId="0" fontId="10" fillId="0" borderId="0" xfId="0" applyFont="1" applyAlignment="1">
      <alignment horizontal="center" vertical="center" wrapText="1"/>
    </xf>
    <xf numFmtId="0" fontId="28" fillId="2" borderId="0" xfId="0" applyFont="1" applyFill="1" applyBorder="1" applyAlignment="1">
      <alignment vertical="center"/>
    </xf>
    <xf numFmtId="0" fontId="14" fillId="2" borderId="0" xfId="13" applyFont="1" applyFill="1" applyBorder="1" applyAlignment="1">
      <alignment horizontal="center" vertical="top"/>
    </xf>
    <xf numFmtId="0" fontId="0" fillId="0" borderId="0" xfId="0" applyAlignment="1">
      <alignment horizontal="center" vertical="top"/>
    </xf>
    <xf numFmtId="0" fontId="14" fillId="2" borderId="9" xfId="13" applyFont="1" applyFill="1" applyBorder="1" applyAlignment="1">
      <alignment horizontal="center" vertical="top" wrapText="1"/>
    </xf>
    <xf numFmtId="0" fontId="0" fillId="0" borderId="9" xfId="0" applyBorder="1" applyAlignment="1">
      <alignment horizontal="center" vertical="top"/>
    </xf>
    <xf numFmtId="0" fontId="0" fillId="0" borderId="9" xfId="0" applyBorder="1" applyAlignment="1">
      <alignment vertical="top"/>
    </xf>
    <xf numFmtId="0" fontId="37" fillId="0" borderId="0" xfId="1" applyFont="1" applyFill="1" applyBorder="1" applyAlignment="1">
      <alignment horizontal="center" vertical="center" wrapText="1"/>
    </xf>
    <xf numFmtId="0" fontId="38" fillId="0" borderId="1" xfId="1" applyFont="1" applyFill="1" applyBorder="1" applyAlignment="1">
      <alignment horizontal="center" vertical="center" wrapText="1"/>
    </xf>
    <xf numFmtId="0" fontId="38" fillId="0" borderId="2" xfId="1" applyFont="1" applyFill="1" applyBorder="1" applyAlignment="1">
      <alignment horizontal="center" vertical="center" wrapText="1"/>
    </xf>
    <xf numFmtId="0" fontId="38" fillId="0" borderId="3" xfId="1" applyFont="1" applyFill="1" applyBorder="1" applyAlignment="1">
      <alignment horizontal="center" vertical="center" wrapText="1"/>
    </xf>
    <xf numFmtId="0" fontId="38" fillId="6" borderId="4" xfId="0" applyFont="1" applyFill="1" applyBorder="1" applyAlignment="1">
      <alignment horizontal="center" vertical="center" wrapText="1"/>
    </xf>
    <xf numFmtId="0" fontId="34" fillId="0" borderId="6" xfId="1" applyFont="1" applyFill="1" applyBorder="1" applyAlignment="1">
      <alignment horizontal="left" vertical="center" wrapText="1"/>
    </xf>
    <xf numFmtId="0" fontId="34" fillId="0" borderId="5" xfId="1" applyFont="1" applyFill="1" applyBorder="1" applyAlignment="1">
      <alignment horizontal="left" vertical="center" wrapText="1"/>
    </xf>
    <xf numFmtId="2" fontId="34" fillId="0" borderId="6" xfId="1" applyNumberFormat="1" applyFont="1" applyFill="1" applyBorder="1" applyAlignment="1">
      <alignment horizontal="center" vertical="center" wrapText="1"/>
    </xf>
    <xf numFmtId="2" fontId="34" fillId="0" borderId="5" xfId="1" applyNumberFormat="1" applyFont="1" applyFill="1" applyBorder="1" applyAlignment="1">
      <alignment horizontal="center" vertical="center" wrapText="1"/>
    </xf>
    <xf numFmtId="2" fontId="34" fillId="10" borderId="6" xfId="1" applyNumberFormat="1" applyFont="1" applyFill="1" applyBorder="1" applyAlignment="1">
      <alignment horizontal="center" vertical="center" wrapText="1"/>
    </xf>
    <xf numFmtId="2" fontId="34" fillId="10" borderId="5" xfId="1" applyNumberFormat="1" applyFont="1" applyFill="1" applyBorder="1" applyAlignment="1">
      <alignment horizontal="center" vertical="center" wrapText="1"/>
    </xf>
    <xf numFmtId="0" fontId="36" fillId="0" borderId="0" xfId="0" applyFont="1" applyAlignment="1">
      <alignment horizontal="center" vertical="center"/>
    </xf>
    <xf numFmtId="1" fontId="34" fillId="0" borderId="6" xfId="1" applyNumberFormat="1" applyFont="1" applyFill="1" applyBorder="1" applyAlignment="1">
      <alignment horizontal="center" vertical="center" wrapText="1"/>
    </xf>
    <xf numFmtId="1" fontId="34" fillId="0" borderId="5" xfId="1" applyNumberFormat="1" applyFont="1" applyFill="1" applyBorder="1" applyAlignment="1">
      <alignment horizontal="center" vertical="center" wrapText="1"/>
    </xf>
    <xf numFmtId="0" fontId="36" fillId="0" borderId="7" xfId="0" applyFont="1" applyBorder="1" applyAlignment="1">
      <alignment horizontal="center" vertical="center"/>
    </xf>
    <xf numFmtId="0" fontId="34" fillId="0" borderId="6" xfId="0" applyFont="1" applyFill="1" applyBorder="1" applyAlignment="1">
      <alignment horizontal="left" vertical="center" wrapText="1"/>
    </xf>
    <xf numFmtId="0" fontId="34" fillId="0" borderId="5" xfId="0" applyFont="1" applyFill="1" applyBorder="1" applyAlignment="1">
      <alignment horizontal="left" vertical="center" wrapText="1"/>
    </xf>
    <xf numFmtId="2" fontId="34" fillId="0" borderId="6" xfId="10" applyNumberFormat="1" applyFont="1" applyFill="1" applyBorder="1" applyAlignment="1">
      <alignment horizontal="center" vertical="center" wrapText="1"/>
    </xf>
    <xf numFmtId="2" fontId="34" fillId="0" borderId="5" xfId="10" applyNumberFormat="1" applyFont="1" applyFill="1" applyBorder="1" applyAlignment="1">
      <alignment horizontal="center" vertical="center" wrapText="1"/>
    </xf>
    <xf numFmtId="2" fontId="34" fillId="3" borderId="6" xfId="1" applyNumberFormat="1" applyFont="1" applyFill="1" applyBorder="1" applyAlignment="1">
      <alignment horizontal="center" vertical="center" wrapText="1"/>
    </xf>
    <xf numFmtId="2" fontId="34" fillId="3" borderId="5" xfId="1" applyNumberFormat="1" applyFont="1" applyFill="1" applyBorder="1" applyAlignment="1">
      <alignment horizontal="center" vertical="center" wrapText="1"/>
    </xf>
    <xf numFmtId="0" fontId="36" fillId="0" borderId="0" xfId="0" applyFont="1" applyAlignment="1">
      <alignment horizontal="justify" vertical="center"/>
    </xf>
    <xf numFmtId="2" fontId="41" fillId="0" borderId="10" xfId="0" applyNumberFormat="1" applyFont="1" applyFill="1" applyBorder="1" applyAlignment="1">
      <alignment horizontal="center" vertical="center" wrapText="1"/>
    </xf>
    <xf numFmtId="0" fontId="36" fillId="0" borderId="12" xfId="0" applyFont="1" applyFill="1" applyBorder="1"/>
    <xf numFmtId="0" fontId="36" fillId="0" borderId="0" xfId="0" applyFont="1" applyAlignment="1">
      <alignment horizontal="justify" vertical="center" wrapText="1"/>
    </xf>
    <xf numFmtId="2" fontId="34" fillId="10" borderId="4" xfId="1" applyNumberFormat="1" applyFont="1" applyFill="1" applyBorder="1" applyAlignment="1">
      <alignment horizontal="center" vertical="center" wrapText="1"/>
    </xf>
    <xf numFmtId="4" fontId="34" fillId="0" borderId="6" xfId="1" applyNumberFormat="1" applyFont="1" applyFill="1" applyBorder="1" applyAlignment="1">
      <alignment horizontal="center" vertical="center" wrapText="1"/>
    </xf>
    <xf numFmtId="4" fontId="34" fillId="0" borderId="5" xfId="1" applyNumberFormat="1" applyFont="1" applyFill="1" applyBorder="1" applyAlignment="1">
      <alignment horizontal="center" vertical="center" wrapText="1"/>
    </xf>
    <xf numFmtId="1" fontId="34" fillId="10" borderId="6" xfId="1" applyNumberFormat="1" applyFont="1" applyFill="1" applyBorder="1" applyAlignment="1">
      <alignment horizontal="center" vertical="center" wrapText="1"/>
    </xf>
    <xf numFmtId="1" fontId="34" fillId="10" borderId="5" xfId="1" applyNumberFormat="1" applyFont="1" applyFill="1" applyBorder="1" applyAlignment="1">
      <alignment horizontal="center" vertical="center" wrapText="1"/>
    </xf>
    <xf numFmtId="0" fontId="14" fillId="5" borderId="6" xfId="1" applyFont="1" applyFill="1" applyBorder="1" applyAlignment="1">
      <alignment horizontal="left" vertical="center" wrapText="1"/>
    </xf>
    <xf numFmtId="0" fontId="14" fillId="5" borderId="5" xfId="1" applyFont="1" applyFill="1" applyBorder="1" applyAlignment="1">
      <alignment horizontal="left" vertical="center" wrapText="1"/>
    </xf>
    <xf numFmtId="2" fontId="14" fillId="5" borderId="6" xfId="1" applyNumberFormat="1" applyFont="1" applyFill="1" applyBorder="1" applyAlignment="1">
      <alignment horizontal="center" vertical="center" wrapText="1"/>
    </xf>
    <xf numFmtId="2" fontId="14" fillId="5" borderId="5" xfId="1" applyNumberFormat="1" applyFont="1" applyFill="1" applyBorder="1" applyAlignment="1">
      <alignment horizontal="center" vertical="center" wrapText="1"/>
    </xf>
    <xf numFmtId="2" fontId="14" fillId="10" borderId="6" xfId="1" applyNumberFormat="1" applyFont="1" applyFill="1" applyBorder="1" applyAlignment="1">
      <alignment horizontal="center" vertical="center" wrapText="1"/>
    </xf>
    <xf numFmtId="2" fontId="14" fillId="10" borderId="5" xfId="1" applyNumberFormat="1" applyFont="1" applyFill="1" applyBorder="1" applyAlignment="1">
      <alignment horizontal="center" vertical="center" wrapText="1"/>
    </xf>
    <xf numFmtId="0" fontId="0" fillId="0" borderId="0" xfId="0" applyAlignment="1">
      <alignment horizontal="center" vertical="center"/>
    </xf>
    <xf numFmtId="1" fontId="14" fillId="5" borderId="6" xfId="1" applyNumberFormat="1" applyFont="1" applyFill="1" applyBorder="1" applyAlignment="1">
      <alignment horizontal="center" vertical="center" wrapText="1"/>
    </xf>
    <xf numFmtId="1" fontId="14" fillId="5" borderId="5" xfId="1" applyNumberFormat="1" applyFont="1" applyFill="1" applyBorder="1" applyAlignment="1">
      <alignment horizontal="center" vertical="center" wrapText="1"/>
    </xf>
    <xf numFmtId="0" fontId="14" fillId="0" borderId="6" xfId="1" applyFont="1" applyFill="1" applyBorder="1" applyAlignment="1">
      <alignment horizontal="left" vertical="center" wrapText="1"/>
    </xf>
    <xf numFmtId="0" fontId="14" fillId="0" borderId="5" xfId="1" applyFont="1" applyFill="1" applyBorder="1" applyAlignment="1">
      <alignment horizontal="left" vertical="center" wrapText="1"/>
    </xf>
    <xf numFmtId="2" fontId="14" fillId="0" borderId="6"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2" fontId="14" fillId="10" borderId="4" xfId="1" applyNumberFormat="1" applyFont="1" applyFill="1" applyBorder="1" applyAlignment="1">
      <alignment horizontal="center" vertical="center" wrapText="1"/>
    </xf>
    <xf numFmtId="1" fontId="14" fillId="10" borderId="6" xfId="1" applyNumberFormat="1" applyFont="1" applyFill="1" applyBorder="1" applyAlignment="1">
      <alignment horizontal="center" vertical="center" wrapText="1"/>
    </xf>
    <xf numFmtId="1" fontId="14" fillId="10" borderId="5" xfId="1" applyNumberFormat="1" applyFont="1" applyFill="1" applyBorder="1" applyAlignment="1">
      <alignment horizontal="center" vertical="center" wrapText="1"/>
    </xf>
    <xf numFmtId="4" fontId="14" fillId="5" borderId="6" xfId="1" applyNumberFormat="1" applyFont="1" applyFill="1" applyBorder="1" applyAlignment="1">
      <alignment horizontal="center" vertical="center" wrapText="1"/>
    </xf>
    <xf numFmtId="4" fontId="14" fillId="5" borderId="5" xfId="1" applyNumberFormat="1" applyFont="1" applyFill="1" applyBorder="1" applyAlignment="1">
      <alignment horizontal="center" vertical="center" wrapText="1"/>
    </xf>
    <xf numFmtId="0" fontId="15" fillId="0" borderId="0" xfId="0" applyFont="1" applyAlignment="1">
      <alignment horizontal="justify" vertical="center" wrapText="1"/>
    </xf>
    <xf numFmtId="2" fontId="30" fillId="0" borderId="10" xfId="0" applyNumberFormat="1" applyFont="1" applyFill="1" applyBorder="1" applyAlignment="1">
      <alignment horizontal="center" vertical="center" wrapText="1"/>
    </xf>
    <xf numFmtId="0" fontId="15" fillId="0" borderId="12" xfId="0" applyFont="1" applyFill="1" applyBorder="1"/>
    <xf numFmtId="0" fontId="15" fillId="0" borderId="0" xfId="0" applyFont="1" applyAlignment="1">
      <alignment horizontal="justify" vertical="center"/>
    </xf>
    <xf numFmtId="2" fontId="30" fillId="5" borderId="10" xfId="0" applyNumberFormat="1" applyFont="1" applyFill="1" applyBorder="1" applyAlignment="1">
      <alignment horizontal="center" vertical="center" wrapText="1"/>
    </xf>
    <xf numFmtId="0" fontId="15" fillId="5" borderId="12" xfId="0" applyFont="1" applyFill="1" applyBorder="1"/>
    <xf numFmtId="0" fontId="14" fillId="5" borderId="6" xfId="0" applyFont="1" applyFill="1" applyBorder="1" applyAlignment="1">
      <alignment horizontal="left" vertical="center" wrapText="1"/>
    </xf>
    <xf numFmtId="0" fontId="14" fillId="5" borderId="5" xfId="0" applyFont="1" applyFill="1" applyBorder="1" applyAlignment="1">
      <alignment horizontal="left" vertical="center" wrapText="1"/>
    </xf>
    <xf numFmtId="2" fontId="14" fillId="5" borderId="6" xfId="33" applyNumberFormat="1" applyFont="1" applyFill="1" applyBorder="1" applyAlignment="1">
      <alignment horizontal="center" vertical="center" wrapText="1"/>
    </xf>
    <xf numFmtId="2" fontId="14" fillId="5" borderId="5" xfId="33" applyNumberFormat="1" applyFont="1" applyFill="1" applyBorder="1" applyAlignment="1">
      <alignment horizontal="center" vertical="center" wrapText="1"/>
    </xf>
    <xf numFmtId="2" fontId="14" fillId="3" borderId="6" xfId="1" applyNumberFormat="1" applyFont="1" applyFill="1" applyBorder="1" applyAlignment="1">
      <alignment horizontal="center" vertical="center" wrapText="1"/>
    </xf>
    <xf numFmtId="2" fontId="14" fillId="3" borderId="5" xfId="1" applyNumberFormat="1" applyFont="1" applyFill="1" applyBorder="1" applyAlignment="1">
      <alignment horizontal="center" vertical="center" wrapText="1"/>
    </xf>
    <xf numFmtId="1" fontId="14" fillId="0" borderId="6"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0" fillId="0" borderId="7" xfId="0" applyBorder="1" applyAlignment="1">
      <alignment horizontal="center" vertical="center"/>
    </xf>
    <xf numFmtId="0" fontId="12" fillId="0" borderId="0"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6" borderId="4" xfId="0" applyFont="1" applyFill="1" applyBorder="1" applyAlignment="1">
      <alignment horizontal="center" vertical="center" wrapText="1"/>
    </xf>
    <xf numFmtId="2" fontId="14" fillId="5" borderId="4" xfId="1" applyNumberFormat="1" applyFont="1" applyFill="1" applyBorder="1" applyAlignment="1">
      <alignment horizontal="center" vertical="center" wrapText="1"/>
    </xf>
    <xf numFmtId="0" fontId="54" fillId="0" borderId="0" xfId="0" applyFont="1" applyAlignment="1">
      <alignment horizontal="justify" vertical="center" wrapText="1"/>
    </xf>
    <xf numFmtId="0" fontId="15" fillId="0" borderId="0" xfId="13" applyAlignment="1">
      <alignment horizontal="center" vertical="center"/>
    </xf>
    <xf numFmtId="0" fontId="15" fillId="0" borderId="0" xfId="13" applyFont="1" applyAlignment="1">
      <alignment horizontal="justify" vertical="center" wrapText="1"/>
    </xf>
    <xf numFmtId="2" fontId="14" fillId="0" borderId="4" xfId="1" applyNumberFormat="1" applyFont="1" applyFill="1" applyBorder="1" applyAlignment="1">
      <alignment horizontal="center" vertical="center" wrapText="1"/>
    </xf>
    <xf numFmtId="4" fontId="14" fillId="10" borderId="6" xfId="1" applyNumberFormat="1" applyFont="1" applyFill="1" applyBorder="1" applyAlignment="1">
      <alignment horizontal="center" vertical="center" wrapText="1"/>
    </xf>
    <xf numFmtId="4" fontId="14" fillId="10" borderId="5" xfId="1" applyNumberFormat="1" applyFont="1" applyFill="1" applyBorder="1" applyAlignment="1">
      <alignment horizontal="center" vertical="center" wrapText="1"/>
    </xf>
    <xf numFmtId="2" fontId="30" fillId="10" borderId="10" xfId="13" applyNumberFormat="1" applyFont="1" applyFill="1" applyBorder="1" applyAlignment="1">
      <alignment horizontal="center" vertical="center" wrapText="1"/>
    </xf>
    <xf numFmtId="0" fontId="15" fillId="10" borderId="12" xfId="13" applyFont="1" applyFill="1" applyBorder="1"/>
    <xf numFmtId="0" fontId="15" fillId="0" borderId="0" xfId="13" applyFont="1" applyAlignment="1">
      <alignment horizontal="justify" vertical="center"/>
    </xf>
    <xf numFmtId="0" fontId="14" fillId="0" borderId="6" xfId="13" applyFont="1" applyFill="1" applyBorder="1" applyAlignment="1">
      <alignment horizontal="left" vertical="center" wrapText="1"/>
    </xf>
    <xf numFmtId="0" fontId="14" fillId="0" borderId="5" xfId="13" applyFont="1" applyFill="1" applyBorder="1" applyAlignment="1">
      <alignment horizontal="left" vertical="center" wrapText="1"/>
    </xf>
    <xf numFmtId="2" fontId="14" fillId="10" borderId="6" xfId="33" applyNumberFormat="1" applyFont="1" applyFill="1" applyBorder="1" applyAlignment="1">
      <alignment horizontal="center" vertical="center" wrapText="1"/>
    </xf>
    <xf numFmtId="2" fontId="14" fillId="10" borderId="5" xfId="33" applyNumberFormat="1" applyFont="1" applyFill="1" applyBorder="1" applyAlignment="1">
      <alignment horizontal="center" vertical="center" wrapText="1"/>
    </xf>
    <xf numFmtId="0" fontId="15" fillId="0" borderId="7" xfId="13" applyBorder="1" applyAlignment="1">
      <alignment horizontal="center" vertical="center"/>
    </xf>
    <xf numFmtId="0" fontId="12" fillId="7" borderId="0" xfId="1" applyFont="1" applyFill="1" applyBorder="1" applyAlignment="1">
      <alignment horizontal="center" vertical="center" wrapText="1"/>
    </xf>
    <xf numFmtId="0" fontId="13" fillId="6" borderId="4" xfId="13" applyFont="1" applyFill="1" applyBorder="1" applyAlignment="1">
      <alignment horizontal="center" vertical="center" wrapText="1"/>
    </xf>
    <xf numFmtId="0" fontId="54" fillId="0" borderId="0" xfId="13" applyFont="1" applyAlignment="1">
      <alignment horizontal="justify" vertical="center" wrapText="1"/>
    </xf>
    <xf numFmtId="0" fontId="14" fillId="13" borderId="6" xfId="1" applyFont="1" applyFill="1" applyBorder="1" applyAlignment="1">
      <alignment horizontal="left" vertical="center" wrapText="1"/>
    </xf>
    <xf numFmtId="0" fontId="14" fillId="13" borderId="5" xfId="1" applyFont="1" applyFill="1" applyBorder="1" applyAlignment="1">
      <alignment horizontal="left" vertical="center" wrapText="1"/>
    </xf>
    <xf numFmtId="0" fontId="42" fillId="0" borderId="0" xfId="0" applyFont="1" applyAlignment="1">
      <alignment horizontal="justify" vertical="center" wrapText="1"/>
    </xf>
    <xf numFmtId="2" fontId="34" fillId="0" borderId="4" xfId="1" applyNumberFormat="1" applyFont="1" applyFill="1" applyBorder="1" applyAlignment="1">
      <alignment horizontal="center" vertical="center" wrapText="1"/>
    </xf>
    <xf numFmtId="2" fontId="34" fillId="13" borderId="6" xfId="1" applyNumberFormat="1" applyFont="1" applyFill="1" applyBorder="1" applyAlignment="1">
      <alignment horizontal="center" vertical="center" wrapText="1"/>
    </xf>
    <xf numFmtId="2" fontId="34" fillId="13" borderId="5" xfId="1" applyNumberFormat="1" applyFont="1" applyFill="1" applyBorder="1" applyAlignment="1">
      <alignment horizontal="center" vertical="center" wrapText="1"/>
    </xf>
    <xf numFmtId="1" fontId="34" fillId="13" borderId="6" xfId="1" applyNumberFormat="1" applyFont="1" applyFill="1" applyBorder="1" applyAlignment="1">
      <alignment horizontal="center" vertical="center" wrapText="1"/>
    </xf>
    <xf numFmtId="1" fontId="34" fillId="13" borderId="5" xfId="1" applyNumberFormat="1" applyFont="1" applyFill="1" applyBorder="1" applyAlignment="1">
      <alignment horizontal="center" vertical="center" wrapText="1"/>
    </xf>
    <xf numFmtId="2" fontId="34" fillId="13" borderId="6" xfId="10" applyNumberFormat="1" applyFont="1" applyFill="1" applyBorder="1" applyAlignment="1">
      <alignment horizontal="center" vertical="center" wrapText="1"/>
    </xf>
    <xf numFmtId="2" fontId="34" fillId="13" borderId="5" xfId="10" applyNumberFormat="1" applyFont="1" applyFill="1" applyBorder="1" applyAlignment="1">
      <alignment horizontal="center" vertical="center" wrapText="1"/>
    </xf>
    <xf numFmtId="2" fontId="41" fillId="13" borderId="10" xfId="0" applyNumberFormat="1" applyFont="1" applyFill="1" applyBorder="1" applyAlignment="1">
      <alignment horizontal="center" vertical="center" wrapText="1"/>
    </xf>
    <xf numFmtId="0" fontId="36" fillId="13" borderId="12" xfId="0" applyFont="1" applyFill="1" applyBorder="1"/>
    <xf numFmtId="4" fontId="34" fillId="13" borderId="6" xfId="1" applyNumberFormat="1" applyFont="1" applyFill="1" applyBorder="1" applyAlignment="1">
      <alignment horizontal="center" vertical="center" wrapText="1"/>
    </xf>
    <xf numFmtId="4" fontId="34" fillId="13" borderId="5" xfId="1" applyNumberFormat="1" applyFont="1" applyFill="1" applyBorder="1" applyAlignment="1">
      <alignment horizontal="center" vertical="center" wrapText="1"/>
    </xf>
    <xf numFmtId="0" fontId="34" fillId="13" borderId="6" xfId="1" applyFont="1" applyFill="1" applyBorder="1" applyAlignment="1">
      <alignment horizontal="left" vertical="center" wrapText="1"/>
    </xf>
    <xf numFmtId="0" fontId="34" fillId="13" borderId="5" xfId="1" applyFont="1" applyFill="1" applyBorder="1" applyAlignment="1">
      <alignment horizontal="left" vertical="center" wrapText="1"/>
    </xf>
    <xf numFmtId="2" fontId="34" fillId="13" borderId="4" xfId="1" applyNumberFormat="1" applyFont="1" applyFill="1" applyBorder="1" applyAlignment="1">
      <alignment horizontal="center" vertical="center" wrapText="1"/>
    </xf>
    <xf numFmtId="4" fontId="34" fillId="3" borderId="6" xfId="1" applyNumberFormat="1" applyFont="1" applyFill="1" applyBorder="1" applyAlignment="1">
      <alignment horizontal="center" vertical="center" wrapText="1"/>
    </xf>
    <xf numFmtId="4" fontId="34" fillId="3" borderId="5" xfId="1" applyNumberFormat="1" applyFont="1" applyFill="1" applyBorder="1" applyAlignment="1">
      <alignment horizontal="center" vertical="center" wrapText="1"/>
    </xf>
    <xf numFmtId="0" fontId="34" fillId="5" borderId="6" xfId="1" applyFont="1" applyFill="1" applyBorder="1" applyAlignment="1">
      <alignment horizontal="left" vertical="center" wrapText="1"/>
    </xf>
    <xf numFmtId="0" fontId="34" fillId="5" borderId="5" xfId="1" applyFont="1" applyFill="1" applyBorder="1" applyAlignment="1">
      <alignment horizontal="left" vertical="center" wrapText="1"/>
    </xf>
    <xf numFmtId="2" fontId="34" fillId="5" borderId="6" xfId="1" applyNumberFormat="1" applyFont="1" applyFill="1" applyBorder="1" applyAlignment="1">
      <alignment horizontal="center" vertical="center" wrapText="1"/>
    </xf>
    <xf numFmtId="2" fontId="34" fillId="5" borderId="5" xfId="1" applyNumberFormat="1" applyFont="1" applyFill="1" applyBorder="1" applyAlignment="1">
      <alignment horizontal="center" vertical="center" wrapText="1"/>
    </xf>
    <xf numFmtId="1" fontId="34" fillId="5" borderId="6" xfId="1" applyNumberFormat="1" applyFont="1" applyFill="1" applyBorder="1" applyAlignment="1">
      <alignment horizontal="center" vertical="center" wrapText="1"/>
    </xf>
    <xf numFmtId="1" fontId="34" fillId="5" borderId="5" xfId="1" applyNumberFormat="1" applyFont="1" applyFill="1" applyBorder="1" applyAlignment="1">
      <alignment horizontal="center" vertical="center" wrapText="1"/>
    </xf>
    <xf numFmtId="2" fontId="34" fillId="5" borderId="4" xfId="1" applyNumberFormat="1" applyFont="1" applyFill="1" applyBorder="1" applyAlignment="1">
      <alignment horizontal="center" vertical="center" wrapText="1"/>
    </xf>
    <xf numFmtId="4" fontId="34" fillId="14" borderId="6" xfId="1" applyNumberFormat="1" applyFont="1" applyFill="1" applyBorder="1" applyAlignment="1">
      <alignment horizontal="center" vertical="center" wrapText="1"/>
    </xf>
    <xf numFmtId="4" fontId="34" fillId="14" borderId="5" xfId="1" applyNumberFormat="1" applyFont="1" applyFill="1" applyBorder="1" applyAlignment="1">
      <alignment horizontal="center" vertical="center" wrapText="1"/>
    </xf>
    <xf numFmtId="2" fontId="34" fillId="14" borderId="6" xfId="1" applyNumberFormat="1" applyFont="1" applyFill="1" applyBorder="1" applyAlignment="1">
      <alignment horizontal="center" vertical="center" wrapText="1"/>
    </xf>
    <xf numFmtId="2" fontId="34" fillId="14" borderId="5" xfId="1" applyNumberFormat="1" applyFont="1" applyFill="1" applyBorder="1" applyAlignment="1">
      <alignment horizontal="center" vertical="center" wrapText="1"/>
    </xf>
    <xf numFmtId="0" fontId="34" fillId="10" borderId="6" xfId="1" applyFont="1" applyFill="1" applyBorder="1" applyAlignment="1">
      <alignment horizontal="left" vertical="center" wrapText="1"/>
    </xf>
    <xf numFmtId="0" fontId="34" fillId="10" borderId="5" xfId="1" applyFont="1" applyFill="1" applyBorder="1" applyAlignment="1">
      <alignment horizontal="left" vertical="center" wrapText="1"/>
    </xf>
    <xf numFmtId="2" fontId="34" fillId="13" borderId="4" xfId="10" applyNumberFormat="1"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3" xfId="0" applyFont="1" applyFill="1" applyBorder="1" applyAlignment="1">
      <alignment horizontal="center" vertical="center" wrapText="1"/>
    </xf>
    <xf numFmtId="49" fontId="42" fillId="5" borderId="6" xfId="1" applyNumberFormat="1" applyFont="1" applyFill="1" applyBorder="1" applyAlignment="1">
      <alignment horizontal="justify" vertical="top" wrapText="1"/>
    </xf>
    <xf numFmtId="49" fontId="42" fillId="5" borderId="5" xfId="1" applyNumberFormat="1" applyFont="1" applyFill="1" applyBorder="1" applyAlignment="1">
      <alignment horizontal="justify" vertical="top" wrapText="1"/>
    </xf>
    <xf numFmtId="4" fontId="34" fillId="5" borderId="6" xfId="1" applyNumberFormat="1" applyFont="1" applyFill="1" applyBorder="1" applyAlignment="1">
      <alignment horizontal="center" vertical="center" wrapText="1"/>
    </xf>
    <xf numFmtId="4" fontId="34" fillId="5" borderId="5" xfId="1" applyNumberFormat="1" applyFont="1" applyFill="1" applyBorder="1" applyAlignment="1">
      <alignment horizontal="center" vertical="center" wrapText="1"/>
    </xf>
    <xf numFmtId="2" fontId="34" fillId="5" borderId="6" xfId="33" applyNumberFormat="1" applyFont="1" applyFill="1" applyBorder="1" applyAlignment="1">
      <alignment horizontal="center" vertical="center" wrapText="1"/>
    </xf>
    <xf numFmtId="2" fontId="34" fillId="5" borderId="5" xfId="33" applyNumberFormat="1" applyFont="1" applyFill="1" applyBorder="1" applyAlignment="1">
      <alignment horizontal="center" vertical="center" wrapText="1"/>
    </xf>
    <xf numFmtId="2" fontId="34" fillId="0" borderId="6" xfId="33" applyNumberFormat="1" applyFont="1" applyFill="1" applyBorder="1" applyAlignment="1">
      <alignment horizontal="center" vertical="center" wrapText="1"/>
    </xf>
    <xf numFmtId="2" fontId="34" fillId="0" borderId="5" xfId="33" applyNumberFormat="1" applyFont="1" applyFill="1" applyBorder="1" applyAlignment="1">
      <alignment horizontal="center" vertical="center" wrapText="1"/>
    </xf>
    <xf numFmtId="4" fontId="41" fillId="5" borderId="10" xfId="0" applyNumberFormat="1" applyFont="1" applyFill="1" applyBorder="1" applyAlignment="1">
      <alignment horizontal="center" vertical="center" wrapText="1"/>
    </xf>
    <xf numFmtId="0" fontId="36" fillId="5" borderId="12" xfId="0" applyFont="1" applyFill="1" applyBorder="1"/>
    <xf numFmtId="49" fontId="42" fillId="14" borderId="6" xfId="1" applyNumberFormat="1" applyFont="1" applyFill="1" applyBorder="1" applyAlignment="1">
      <alignment horizontal="justify" vertical="top" wrapText="1"/>
    </xf>
    <xf numFmtId="49" fontId="42" fillId="14" borderId="5" xfId="1" applyNumberFormat="1" applyFont="1" applyFill="1" applyBorder="1" applyAlignment="1">
      <alignment horizontal="justify" vertical="top" wrapText="1"/>
    </xf>
    <xf numFmtId="49" fontId="42" fillId="5" borderId="6" xfId="1" applyNumberFormat="1" applyFont="1" applyFill="1" applyBorder="1" applyAlignment="1">
      <alignment horizontal="justify" vertical="center" wrapText="1"/>
    </xf>
    <xf numFmtId="49" fontId="42" fillId="5" borderId="5" xfId="1" applyNumberFormat="1" applyFont="1" applyFill="1" applyBorder="1" applyAlignment="1">
      <alignment horizontal="justify" vertical="center" wrapText="1"/>
    </xf>
    <xf numFmtId="49" fontId="56" fillId="14" borderId="6" xfId="1" applyNumberFormat="1" applyFont="1" applyFill="1" applyBorder="1" applyAlignment="1">
      <alignment horizontal="justify" vertical="top" wrapText="1"/>
    </xf>
    <xf numFmtId="4" fontId="41" fillId="0" borderId="10" xfId="0" applyNumberFormat="1" applyFont="1" applyFill="1" applyBorder="1" applyAlignment="1">
      <alignment horizontal="center" vertical="center" wrapText="1"/>
    </xf>
    <xf numFmtId="2" fontId="34" fillId="3" borderId="6" xfId="10" applyNumberFormat="1" applyFont="1" applyFill="1" applyBorder="1" applyAlignment="1">
      <alignment horizontal="center" vertical="center" wrapText="1"/>
    </xf>
    <xf numFmtId="2" fontId="34" fillId="3" borderId="5" xfId="10" applyNumberFormat="1" applyFont="1" applyFill="1" applyBorder="1" applyAlignment="1">
      <alignment horizontal="center" vertical="center" wrapText="1"/>
    </xf>
    <xf numFmtId="10" fontId="34" fillId="0" borderId="6" xfId="10" applyNumberFormat="1" applyFont="1" applyFill="1" applyBorder="1" applyAlignment="1">
      <alignment horizontal="center" vertical="center" wrapText="1"/>
    </xf>
    <xf numFmtId="10" fontId="34" fillId="0" borderId="5" xfId="10" applyNumberFormat="1" applyFont="1" applyFill="1" applyBorder="1" applyAlignment="1">
      <alignment horizontal="center" vertical="center" wrapText="1"/>
    </xf>
    <xf numFmtId="3" fontId="34" fillId="0" borderId="6" xfId="1" applyNumberFormat="1" applyFont="1" applyFill="1" applyBorder="1" applyAlignment="1">
      <alignment horizontal="center" vertical="center" wrapText="1"/>
    </xf>
    <xf numFmtId="3" fontId="34" fillId="0" borderId="5" xfId="1" applyNumberFormat="1" applyFont="1" applyFill="1" applyBorder="1" applyAlignment="1">
      <alignment horizontal="center" vertical="center" wrapText="1"/>
    </xf>
    <xf numFmtId="1" fontId="34" fillId="0" borderId="4" xfId="1" applyNumberFormat="1" applyFont="1" applyFill="1" applyBorder="1" applyAlignment="1">
      <alignment horizontal="center" vertical="center" wrapText="1"/>
    </xf>
    <xf numFmtId="2" fontId="34" fillId="5" borderId="14" xfId="1" applyNumberFormat="1" applyFont="1" applyFill="1" applyBorder="1" applyAlignment="1">
      <alignment horizontal="center" vertical="center" wrapText="1"/>
    </xf>
    <xf numFmtId="3" fontId="34" fillId="5" borderId="6" xfId="1" applyNumberFormat="1" applyFont="1" applyFill="1" applyBorder="1" applyAlignment="1">
      <alignment horizontal="center" vertical="center" wrapText="1"/>
    </xf>
    <xf numFmtId="3" fontId="34" fillId="5" borderId="5" xfId="1" applyNumberFormat="1" applyFont="1" applyFill="1" applyBorder="1" applyAlignment="1">
      <alignment horizontal="center" vertical="center" wrapText="1"/>
    </xf>
    <xf numFmtId="0" fontId="37" fillId="0" borderId="8" xfId="1" applyFont="1" applyFill="1" applyBorder="1" applyAlignment="1">
      <alignment horizontal="center" vertical="center" wrapText="1"/>
    </xf>
    <xf numFmtId="0" fontId="14" fillId="11" borderId="6" xfId="1" applyFont="1" applyFill="1" applyBorder="1" applyAlignment="1">
      <alignment horizontal="center" vertical="center" wrapText="1"/>
    </xf>
    <xf numFmtId="0" fontId="14" fillId="11" borderId="5" xfId="1"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34" fillId="5" borderId="4" xfId="0" applyFont="1" applyFill="1" applyBorder="1" applyAlignment="1">
      <alignment horizontal="center" vertical="center"/>
    </xf>
    <xf numFmtId="0" fontId="36" fillId="0" borderId="12" xfId="0" applyFont="1" applyFill="1" applyBorder="1" applyAlignment="1">
      <alignment horizontal="center" vertical="center"/>
    </xf>
  </cellXfs>
  <cellStyles count="34">
    <cellStyle name="Euro" xfId="2"/>
    <cellStyle name="Normal" xfId="0" builtinId="0"/>
    <cellStyle name="Normal 2" xfId="3"/>
    <cellStyle name="Normal 2 2" xfId="13"/>
    <cellStyle name="Normal 2 3" xfId="15"/>
    <cellStyle name="Normal 2 4" xfId="23"/>
    <cellStyle name="Normal 3" xfId="4"/>
    <cellStyle name="Normal 3 2" xfId="5"/>
    <cellStyle name="Normal 3 3" xfId="6"/>
    <cellStyle name="Normal 3 3 2" xfId="17"/>
    <cellStyle name="Normal 3 3 3" xfId="25"/>
    <cellStyle name="Normal 3 4" xfId="16"/>
    <cellStyle name="Normal 3 5" xfId="24"/>
    <cellStyle name="Normal 4" xfId="7"/>
    <cellStyle name="Normal 5" xfId="8"/>
    <cellStyle name="Normal 5 2" xfId="11"/>
    <cellStyle name="Normal 5 2 2" xfId="12"/>
    <cellStyle name="Normal 5 2 2 2" xfId="21"/>
    <cellStyle name="Normal 5 2 2 3" xfId="29"/>
    <cellStyle name="Normal 5 2 3" xfId="20"/>
    <cellStyle name="Normal 5 2 4" xfId="28"/>
    <cellStyle name="Normal 5 3" xfId="18"/>
    <cellStyle name="Normal 5 4" xfId="26"/>
    <cellStyle name="Normal 6" xfId="9"/>
    <cellStyle name="Normal 6 2" xfId="19"/>
    <cellStyle name="Normal 6 3" xfId="27"/>
    <cellStyle name="Normal 7" xfId="14"/>
    <cellStyle name="Normal 7 2" xfId="22"/>
    <cellStyle name="Normal 7 3" xfId="30"/>
    <cellStyle name="Normal 8" xfId="31"/>
    <cellStyle name="Normal 9" xfId="32"/>
    <cellStyle name="Normal_Hoja1" xfId="1"/>
    <cellStyle name="Porcentaje" xfId="10" builtinId="5"/>
    <cellStyle name="Porcentaje 2" xfId="33"/>
  </cellStyles>
  <dxfs count="43">
    <dxf>
      <fill>
        <patternFill patternType="none">
          <bgColor auto="1"/>
        </patternFill>
      </fill>
    </dxf>
    <dxf>
      <fill>
        <patternFill patternType="solid">
          <bgColor rgb="FF00FFCC"/>
        </patternFill>
      </fill>
    </dxf>
    <dxf>
      <fill>
        <patternFill patternType="solid">
          <bgColor rgb="FF00FFCC"/>
        </patternFill>
      </fill>
    </dxf>
    <dxf>
      <fill>
        <patternFill patternType="solid">
          <bgColor rgb="FF00FFCC"/>
        </patternFill>
      </fill>
    </dxf>
    <dxf>
      <fill>
        <patternFill patternType="solid">
          <bgColor rgb="FF00FFCC"/>
        </patternFill>
      </fill>
    </dxf>
    <dxf>
      <fill>
        <patternFill patternType="solid">
          <bgColor rgb="FF00FFCC"/>
        </patternFill>
      </fill>
    </dxf>
    <dxf>
      <fill>
        <patternFill>
          <bgColor rgb="FF00FFCC"/>
        </patternFill>
      </fill>
    </dxf>
    <dxf>
      <fill>
        <patternFill>
          <bgColor rgb="FF00FFCC"/>
        </patternFill>
      </fill>
    </dxf>
    <dxf>
      <fill>
        <patternFill patternType="solid">
          <bgColor rgb="FF00FFCC"/>
        </patternFill>
      </fill>
    </dxf>
    <dxf>
      <fill>
        <patternFill patternType="solid">
          <bgColor rgb="FF00FFCC"/>
        </patternFill>
      </fill>
    </dxf>
    <dxf>
      <fill>
        <patternFill patternType="solid">
          <bgColor rgb="FF00FFCC"/>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font>
        <sz val="14"/>
      </font>
    </dxf>
    <dxf>
      <font>
        <sz val="14"/>
      </font>
    </dxf>
    <dxf>
      <font>
        <sz val="14"/>
      </font>
    </dxf>
    <dxf>
      <font>
        <sz val="14"/>
      </font>
    </dxf>
    <dxf>
      <font>
        <sz val="14"/>
      </font>
    </dxf>
    <dxf>
      <font>
        <sz val="14"/>
      </font>
    </dxf>
  </dxfs>
  <tableStyles count="0" defaultTableStyle="TableStyleMedium2" defaultPivotStyle="PivotStyleLight16"/>
  <colors>
    <mruColors>
      <color rgb="FF66FFFF"/>
      <color rgb="FF00FF00"/>
      <color rgb="FFCCFFCC"/>
      <color rgb="FF00FFCC"/>
      <color rgb="FFFF99CC"/>
      <color rgb="FFCCFF33"/>
      <color rgb="FF0000CC"/>
      <color rgb="FFFF0066"/>
      <color rgb="FFCC99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4</xdr:col>
      <xdr:colOff>678180</xdr:colOff>
      <xdr:row>3</xdr:row>
      <xdr:rowOff>15240</xdr:rowOff>
    </xdr:to>
    <xdr:grpSp>
      <xdr:nvGrpSpPr>
        <xdr:cNvPr id="2" name="8 Grupo"/>
        <xdr:cNvGrpSpPr>
          <a:grpSpLocks/>
        </xdr:cNvGrpSpPr>
      </xdr:nvGrpSpPr>
      <xdr:grpSpPr bwMode="auto">
        <a:xfrm>
          <a:off x="38100" y="0"/>
          <a:ext cx="4257040" cy="624840"/>
          <a:chOff x="0" y="0"/>
          <a:chExt cx="8424936" cy="1096316"/>
        </a:xfrm>
      </xdr:grpSpPr>
      <xdr:grpSp>
        <xdr:nvGrpSpPr>
          <xdr:cNvPr id="3" name="3 Grupo"/>
          <xdr:cNvGrpSpPr>
            <a:grpSpLocks/>
          </xdr:cNvGrpSpPr>
        </xdr:nvGrpSpPr>
        <xdr:grpSpPr bwMode="auto">
          <a:xfrm>
            <a:off x="0" y="0"/>
            <a:ext cx="6264696" cy="1096316"/>
            <a:chOff x="0" y="0"/>
            <a:chExt cx="6755964" cy="1096316"/>
          </a:xfrm>
        </xdr:grpSpPr>
        <xdr:pic>
          <xdr:nvPicPr>
            <xdr:cNvPr id="5"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2783"/>
            <a:stretch>
              <a:fillRect/>
            </a:stretch>
          </xdr:blipFill>
          <xdr:spPr bwMode="auto">
            <a:xfrm>
              <a:off x="0" y="0"/>
              <a:ext cx="4736939" cy="1096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96598" y="197783"/>
              <a:ext cx="1859366" cy="738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7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80720" y="143804"/>
            <a:ext cx="1944216" cy="758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1</xdr:col>
      <xdr:colOff>3876675</xdr:colOff>
      <xdr:row>0</xdr:row>
      <xdr:rowOff>28575</xdr:rowOff>
    </xdr:from>
    <xdr:to>
      <xdr:col>2</xdr:col>
      <xdr:colOff>238216</xdr:colOff>
      <xdr:row>2</xdr:row>
      <xdr:rowOff>207645</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4074795" y="28575"/>
          <a:ext cx="1687921" cy="63627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2</xdr:col>
      <xdr:colOff>230410</xdr:colOff>
      <xdr:row>0</xdr:row>
      <xdr:rowOff>32658</xdr:rowOff>
    </xdr:from>
    <xdr:to>
      <xdr:col>3</xdr:col>
      <xdr:colOff>833751</xdr:colOff>
      <xdr:row>2</xdr:row>
      <xdr:rowOff>211728</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54910" y="32658"/>
          <a:ext cx="1693001" cy="636270"/>
        </a:xfrm>
        <a:prstGeom prst="rect">
          <a:avLst/>
        </a:prstGeom>
        <a:noFill/>
        <a:ln w="9525">
          <a:noFill/>
          <a:miter lim="800000"/>
          <a:headEnd/>
          <a:tailEnd/>
        </a:ln>
      </xdr:spPr>
    </xdr:pic>
    <xdr:clientData/>
  </xdr:twoCellAnchor>
  <xdr:oneCellAnchor>
    <xdr:from>
      <xdr:col>3</xdr:col>
      <xdr:colOff>230410</xdr:colOff>
      <xdr:row>0</xdr:row>
      <xdr:rowOff>32658</xdr:rowOff>
    </xdr:from>
    <xdr:ext cx="1689826" cy="636270"/>
    <xdr:pic>
      <xdr:nvPicPr>
        <xdr:cNvPr id="4"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6844570" y="32658"/>
          <a:ext cx="1689826" cy="636270"/>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2</xdr:col>
      <xdr:colOff>230410</xdr:colOff>
      <xdr:row>0</xdr:row>
      <xdr:rowOff>32658</xdr:rowOff>
    </xdr:from>
    <xdr:to>
      <xdr:col>3</xdr:col>
      <xdr:colOff>833751</xdr:colOff>
      <xdr:row>2</xdr:row>
      <xdr:rowOff>211728</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54910" y="32658"/>
          <a:ext cx="1693001" cy="636270"/>
        </a:xfrm>
        <a:prstGeom prst="rect">
          <a:avLst/>
        </a:prstGeom>
        <a:noFill/>
        <a:ln w="9525">
          <a:noFill/>
          <a:miter lim="800000"/>
          <a:headEnd/>
          <a:tailEnd/>
        </a:ln>
      </xdr:spPr>
    </xdr:pic>
    <xdr:clientData/>
  </xdr:twoCellAnchor>
  <xdr:oneCellAnchor>
    <xdr:from>
      <xdr:col>3</xdr:col>
      <xdr:colOff>230410</xdr:colOff>
      <xdr:row>0</xdr:row>
      <xdr:rowOff>32658</xdr:rowOff>
    </xdr:from>
    <xdr:ext cx="1689826" cy="636270"/>
    <xdr:pic>
      <xdr:nvPicPr>
        <xdr:cNvPr id="4"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6844570" y="32658"/>
          <a:ext cx="1689826" cy="636270"/>
        </a:xfrm>
        <a:prstGeom prst="rect">
          <a:avLst/>
        </a:prstGeom>
        <a:noFill/>
        <a:ln w="9525">
          <a:noFill/>
          <a:miter lim="800000"/>
          <a:headEnd/>
          <a:tailEnd/>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1641928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6</xdr:col>
      <xdr:colOff>264276</xdr:colOff>
      <xdr:row>0</xdr:row>
      <xdr:rowOff>15725</xdr:rowOff>
    </xdr:from>
    <xdr:to>
      <xdr:col>8</xdr:col>
      <xdr:colOff>149614</xdr:colOff>
      <xdr:row>2</xdr:row>
      <xdr:rowOff>194795</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84543" y="15725"/>
          <a:ext cx="1692366" cy="641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1</xdr:col>
      <xdr:colOff>3876675</xdr:colOff>
      <xdr:row>0</xdr:row>
      <xdr:rowOff>28575</xdr:rowOff>
    </xdr:from>
    <xdr:to>
      <xdr:col>2</xdr:col>
      <xdr:colOff>238216</xdr:colOff>
      <xdr:row>2</xdr:row>
      <xdr:rowOff>207645</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4076700" y="28575"/>
          <a:ext cx="1686016"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185058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1</xdr:col>
      <xdr:colOff>3876675</xdr:colOff>
      <xdr:row>0</xdr:row>
      <xdr:rowOff>28575</xdr:rowOff>
    </xdr:from>
    <xdr:to>
      <xdr:col>2</xdr:col>
      <xdr:colOff>238216</xdr:colOff>
      <xdr:row>3</xdr:row>
      <xdr:rowOff>161925</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4074795" y="28575"/>
          <a:ext cx="1687921" cy="6362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185058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2</xdr:col>
      <xdr:colOff>230410</xdr:colOff>
      <xdr:row>0</xdr:row>
      <xdr:rowOff>32658</xdr:rowOff>
    </xdr:from>
    <xdr:to>
      <xdr:col>3</xdr:col>
      <xdr:colOff>833751</xdr:colOff>
      <xdr:row>3</xdr:row>
      <xdr:rowOff>166008</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54910" y="32658"/>
          <a:ext cx="1693001" cy="636270"/>
        </a:xfrm>
        <a:prstGeom prst="rect">
          <a:avLst/>
        </a:prstGeom>
        <a:noFill/>
        <a:ln w="9525">
          <a:noFill/>
          <a:miter lim="800000"/>
          <a:headEnd/>
          <a:tailEnd/>
        </a:ln>
      </xdr:spPr>
    </xdr:pic>
    <xdr:clientData/>
  </xdr:twoCellAnchor>
  <xdr:oneCellAnchor>
    <xdr:from>
      <xdr:col>3</xdr:col>
      <xdr:colOff>230410</xdr:colOff>
      <xdr:row>0</xdr:row>
      <xdr:rowOff>32658</xdr:rowOff>
    </xdr:from>
    <xdr:ext cx="1689826" cy="636270"/>
    <xdr:pic>
      <xdr:nvPicPr>
        <xdr:cNvPr id="4"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6844570" y="32658"/>
          <a:ext cx="1689826" cy="63627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185058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1</xdr:col>
      <xdr:colOff>3876675</xdr:colOff>
      <xdr:row>0</xdr:row>
      <xdr:rowOff>28575</xdr:rowOff>
    </xdr:from>
    <xdr:to>
      <xdr:col>2</xdr:col>
      <xdr:colOff>238216</xdr:colOff>
      <xdr:row>3</xdr:row>
      <xdr:rowOff>161925</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4074795" y="28575"/>
          <a:ext cx="1687921" cy="63627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185058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2</xdr:col>
      <xdr:colOff>230410</xdr:colOff>
      <xdr:row>0</xdr:row>
      <xdr:rowOff>32658</xdr:rowOff>
    </xdr:from>
    <xdr:to>
      <xdr:col>3</xdr:col>
      <xdr:colOff>833751</xdr:colOff>
      <xdr:row>3</xdr:row>
      <xdr:rowOff>166008</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54910" y="32658"/>
          <a:ext cx="1693001" cy="636270"/>
        </a:xfrm>
        <a:prstGeom prst="rect">
          <a:avLst/>
        </a:prstGeom>
        <a:noFill/>
        <a:ln w="9525">
          <a:noFill/>
          <a:miter lim="800000"/>
          <a:headEnd/>
          <a:tailEnd/>
        </a:ln>
      </xdr:spPr>
    </xdr:pic>
    <xdr:clientData/>
  </xdr:twoCellAnchor>
  <xdr:oneCellAnchor>
    <xdr:from>
      <xdr:col>3</xdr:col>
      <xdr:colOff>230410</xdr:colOff>
      <xdr:row>0</xdr:row>
      <xdr:rowOff>32658</xdr:rowOff>
    </xdr:from>
    <xdr:ext cx="1689826" cy="636270"/>
    <xdr:pic>
      <xdr:nvPicPr>
        <xdr:cNvPr id="4"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6844570" y="32658"/>
          <a:ext cx="1689826" cy="63627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2</xdr:col>
      <xdr:colOff>230410</xdr:colOff>
      <xdr:row>0</xdr:row>
      <xdr:rowOff>32658</xdr:rowOff>
    </xdr:from>
    <xdr:to>
      <xdr:col>3</xdr:col>
      <xdr:colOff>833751</xdr:colOff>
      <xdr:row>2</xdr:row>
      <xdr:rowOff>211728</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6029230" y="32658"/>
          <a:ext cx="1689826" cy="636270"/>
        </a:xfrm>
        <a:prstGeom prst="rect">
          <a:avLst/>
        </a:prstGeom>
        <a:noFill/>
        <a:ln w="9525">
          <a:noFill/>
          <a:miter lim="800000"/>
          <a:headEnd/>
          <a:tailEnd/>
        </a:ln>
      </xdr:spPr>
    </xdr:pic>
    <xdr:clientData/>
  </xdr:twoCellAnchor>
  <xdr:oneCellAnchor>
    <xdr:from>
      <xdr:col>3</xdr:col>
      <xdr:colOff>230410</xdr:colOff>
      <xdr:row>0</xdr:row>
      <xdr:rowOff>32658</xdr:rowOff>
    </xdr:from>
    <xdr:ext cx="1689826" cy="636270"/>
    <xdr:pic>
      <xdr:nvPicPr>
        <xdr:cNvPr id="4"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54910" y="32658"/>
          <a:ext cx="1689826" cy="63627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1</xdr:col>
      <xdr:colOff>3876675</xdr:colOff>
      <xdr:row>0</xdr:row>
      <xdr:rowOff>28575</xdr:rowOff>
    </xdr:from>
    <xdr:to>
      <xdr:col>2</xdr:col>
      <xdr:colOff>238216</xdr:colOff>
      <xdr:row>2</xdr:row>
      <xdr:rowOff>207645</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4074795" y="28575"/>
          <a:ext cx="1687921" cy="63627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87085</xdr:colOff>
      <xdr:row>0</xdr:row>
      <xdr:rowOff>38101</xdr:rowOff>
    </xdr:from>
    <xdr:to>
      <xdr:col>1</xdr:col>
      <xdr:colOff>1680028</xdr:colOff>
      <xdr:row>3</xdr:row>
      <xdr:rowOff>2178</xdr:rowOff>
    </xdr:to>
    <xdr:pic>
      <xdr:nvPicPr>
        <xdr:cNvPr id="2" name="1 Imagen"/>
        <xdr:cNvPicPr/>
      </xdr:nvPicPr>
      <xdr:blipFill>
        <a:blip xmlns:r="http://schemas.openxmlformats.org/officeDocument/2006/relationships" r:embed="rId1" cstate="print"/>
        <a:srcRect l="6061" t="13335" r="6050" b="13324"/>
        <a:stretch>
          <a:fillRect/>
        </a:stretch>
      </xdr:blipFill>
      <xdr:spPr bwMode="auto">
        <a:xfrm>
          <a:off x="87085" y="38101"/>
          <a:ext cx="1791063" cy="649877"/>
        </a:xfrm>
        <a:prstGeom prst="rect">
          <a:avLst/>
        </a:prstGeom>
        <a:noFill/>
        <a:ln w="9525">
          <a:noFill/>
          <a:miter lim="800000"/>
          <a:headEnd/>
          <a:tailEnd/>
        </a:ln>
      </xdr:spPr>
    </xdr:pic>
    <xdr:clientData/>
  </xdr:twoCellAnchor>
  <xdr:twoCellAnchor editAs="oneCell">
    <xdr:from>
      <xdr:col>2</xdr:col>
      <xdr:colOff>230410</xdr:colOff>
      <xdr:row>0</xdr:row>
      <xdr:rowOff>32658</xdr:rowOff>
    </xdr:from>
    <xdr:to>
      <xdr:col>3</xdr:col>
      <xdr:colOff>833751</xdr:colOff>
      <xdr:row>2</xdr:row>
      <xdr:rowOff>211728</xdr:rowOff>
    </xdr:to>
    <xdr:pic>
      <xdr:nvPicPr>
        <xdr:cNvPr id="3"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5754910" y="32658"/>
          <a:ext cx="1693001" cy="636270"/>
        </a:xfrm>
        <a:prstGeom prst="rect">
          <a:avLst/>
        </a:prstGeom>
        <a:noFill/>
        <a:ln w="9525">
          <a:noFill/>
          <a:miter lim="800000"/>
          <a:headEnd/>
          <a:tailEnd/>
        </a:ln>
      </xdr:spPr>
    </xdr:pic>
    <xdr:clientData/>
  </xdr:twoCellAnchor>
  <xdr:oneCellAnchor>
    <xdr:from>
      <xdr:col>3</xdr:col>
      <xdr:colOff>230410</xdr:colOff>
      <xdr:row>0</xdr:row>
      <xdr:rowOff>32658</xdr:rowOff>
    </xdr:from>
    <xdr:ext cx="1689826" cy="636270"/>
    <xdr:pic>
      <xdr:nvPicPr>
        <xdr:cNvPr id="4" name="2 Imagen" descr="L:\WhatsApp\Media\WhatsApp Images\IMG-20140801-WA0004.jpg"/>
        <xdr:cNvPicPr/>
      </xdr:nvPicPr>
      <xdr:blipFill>
        <a:blip xmlns:r="http://schemas.openxmlformats.org/officeDocument/2006/relationships" r:embed="rId2" cstate="print"/>
        <a:srcRect l="25861" t="7033" b="15610"/>
        <a:stretch>
          <a:fillRect/>
        </a:stretch>
      </xdr:blipFill>
      <xdr:spPr bwMode="auto">
        <a:xfrm>
          <a:off x="6844570" y="32658"/>
          <a:ext cx="1689826" cy="63627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V03/0%202025%2016Oct2025/3Informe%20MA2025/2SES/1Email%2024Sep/IND2024-2025%203-MA2025%20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cula SD2021"/>
      <sheetName val="Indicadores 2022-2023 TSU"/>
      <sheetName val="Indicadores 2021-2022 TSU"/>
      <sheetName val="Indicadores 2021-2022 ING"/>
      <sheetName val="Indicadores 2020-2021 TSU"/>
      <sheetName val="Indicadores 2020-2021 ING"/>
      <sheetName val="Indicadores 2022-2023 ING"/>
      <sheetName val="Indicadores 2023-2024 TSU"/>
      <sheetName val="Indicadores 2023-2024 ING "/>
      <sheetName val="Indicadores 2024-2025 TSU "/>
      <sheetName val="Indicadores 2024-2025 ING "/>
      <sheetName val="Indicadores 2024-2025 POSGRADO"/>
      <sheetName val="Indicadores 2024-2025 GLOBAL"/>
      <sheetName val="Hoja2"/>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1">
          <cell r="C11">
            <v>212</v>
          </cell>
        </row>
        <row r="12">
          <cell r="C12">
            <v>4520</v>
          </cell>
        </row>
        <row r="13">
          <cell r="C13">
            <v>980</v>
          </cell>
        </row>
        <row r="14">
          <cell r="C14">
            <v>12455</v>
          </cell>
        </row>
        <row r="15">
          <cell r="C15">
            <v>1383</v>
          </cell>
        </row>
        <row r="16">
          <cell r="C16">
            <v>2348</v>
          </cell>
        </row>
        <row r="17">
          <cell r="C17">
            <v>1481</v>
          </cell>
        </row>
        <row r="18">
          <cell r="C18">
            <v>1481</v>
          </cell>
        </row>
        <row r="19">
          <cell r="C19">
            <v>1481</v>
          </cell>
        </row>
        <row r="20">
          <cell r="C20">
            <v>1567</v>
          </cell>
        </row>
        <row r="21">
          <cell r="C21">
            <v>987</v>
          </cell>
        </row>
        <row r="22">
          <cell r="C22">
            <v>4520</v>
          </cell>
        </row>
        <row r="23">
          <cell r="C23">
            <v>692</v>
          </cell>
        </row>
        <row r="24">
          <cell r="C24">
            <v>4520</v>
          </cell>
        </row>
        <row r="43">
          <cell r="C43">
            <v>1481</v>
          </cell>
        </row>
        <row r="44">
          <cell r="C44">
            <v>1567</v>
          </cell>
        </row>
      </sheetData>
      <sheetData sheetId="10">
        <row r="11">
          <cell r="C11">
            <v>1</v>
          </cell>
        </row>
        <row r="12">
          <cell r="C12">
            <v>2318</v>
          </cell>
        </row>
        <row r="13">
          <cell r="C13">
            <v>117</v>
          </cell>
        </row>
        <row r="14">
          <cell r="C14">
            <v>5852</v>
          </cell>
        </row>
        <row r="15">
          <cell r="C15">
            <v>935</v>
          </cell>
        </row>
        <row r="16">
          <cell r="C16">
            <v>1030</v>
          </cell>
        </row>
        <row r="17">
          <cell r="C17">
            <v>999</v>
          </cell>
        </row>
        <row r="18">
          <cell r="C18">
            <v>999</v>
          </cell>
        </row>
        <row r="19">
          <cell r="C19">
            <v>999</v>
          </cell>
        </row>
        <row r="20">
          <cell r="C20">
            <v>1056</v>
          </cell>
        </row>
        <row r="21">
          <cell r="C21">
            <v>2026</v>
          </cell>
        </row>
        <row r="22">
          <cell r="C22">
            <v>2318</v>
          </cell>
        </row>
        <row r="23">
          <cell r="C23">
            <v>143</v>
          </cell>
        </row>
        <row r="24">
          <cell r="C24">
            <v>2318</v>
          </cell>
        </row>
        <row r="43">
          <cell r="C43">
            <v>999</v>
          </cell>
        </row>
        <row r="44">
          <cell r="C44">
            <v>1056</v>
          </cell>
        </row>
      </sheetData>
      <sheetData sheetId="11">
        <row r="11">
          <cell r="C11">
            <v>0</v>
          </cell>
        </row>
        <row r="12">
          <cell r="C12">
            <v>6</v>
          </cell>
        </row>
        <row r="13">
          <cell r="C13">
            <v>0</v>
          </cell>
        </row>
        <row r="14">
          <cell r="C14">
            <v>18</v>
          </cell>
        </row>
        <row r="15">
          <cell r="C15">
            <v>0</v>
          </cell>
        </row>
        <row r="16">
          <cell r="C16">
            <v>0</v>
          </cell>
        </row>
        <row r="17">
          <cell r="C17">
            <v>0</v>
          </cell>
        </row>
        <row r="18">
          <cell r="C18">
            <v>0</v>
          </cell>
        </row>
        <row r="19">
          <cell r="C19">
            <v>0</v>
          </cell>
        </row>
        <row r="20">
          <cell r="C20">
            <v>0</v>
          </cell>
        </row>
        <row r="21">
          <cell r="C21">
            <v>1</v>
          </cell>
        </row>
        <row r="22">
          <cell r="C22">
            <v>6</v>
          </cell>
        </row>
        <row r="23">
          <cell r="C23">
            <v>0</v>
          </cell>
        </row>
        <row r="24">
          <cell r="C24">
            <v>6</v>
          </cell>
        </row>
        <row r="43">
          <cell r="C43">
            <v>0</v>
          </cell>
        </row>
        <row r="44">
          <cell r="C44">
            <v>0</v>
          </cell>
        </row>
      </sheetData>
      <sheetData sheetId="12" refreshError="1"/>
      <sheetData sheetId="13" refreshError="1"/>
      <sheetData sheetId="1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Usuario de Windows" refreshedDate="44510.597785995371" createdVersion="6" refreshedVersion="6" minRefreshableVersion="3" recordCount="76">
  <cacheSource type="worksheet">
    <worksheetSource ref="B12:O88" sheet="Matricula SD2021"/>
  </cacheSource>
  <cacheFields count="14">
    <cacheField name="Carreras" numFmtId="0">
      <sharedItems count="30">
        <s v="TSU en Desarrollo de Negocios Área Mercadotecnia"/>
        <s v="TSU en Mecatrónica Área Automatización"/>
        <s v="TSU en Mantenimiento Área Industrial"/>
        <s v="TSU en Agricultura Sustentable y Protegida"/>
        <s v="TSU en Energías Renovables Área Calidad y Ahorro de Energía"/>
        <s v="TSU en Gastronomía"/>
        <s v="TSU en Gestión Integral del Riesgo de Desastres"/>
        <s v="TSU en Logística Área Cadena de Suministros"/>
        <s v="TSU en Mantenimiento Área Petróleo"/>
        <s v="TSU en Mecánica Área Automotriz"/>
        <s v="TSU en Nanotecnología"/>
        <s v="TSU en Procesos Alimentarios"/>
        <s v="TSU en Tecnologías de la Información Área Desarrollo de Software Multiplataforma"/>
        <s v="TSU en Tecnologías de la Información área Entornos Virtuales y Negocios Digitales"/>
        <s v="TSU en Tecnologías de la Información Área Infraestructura de Redes Digitales"/>
        <s v="TSU en Turismo Área Hotelería"/>
        <s v="Ingeniería en Agricultura Sustentable y Protegida"/>
        <s v="Ingeniería en Energías Renovables"/>
        <s v="Ingeniería en Mantenimiento Industrial"/>
        <s v="Ingeniería en Mecatrónica"/>
        <s v="Ingeniería en Metal Mecánica"/>
        <s v="Ingeniería en Procesos Bioalimentarios"/>
        <s v="Ingeniería en Desarrollo y Gestión de Software"/>
        <s v="Ingeniería en Redes Inteligentes y Ciberseguridad"/>
        <s v="Ingeniería en Entornos Virtuales y Negocios Digitales"/>
        <s v="Ingeniería en Tecnologías de la Información"/>
        <s v="Licenciatura en Diseño y Gestión de Redes Logísticas"/>
        <s v="Licenciatura en Gastronomía"/>
        <s v="Licenciatura en Gestión y Desarrollo Turístico"/>
        <s v="Licenciatura en Innovación de Negocios y Mercadotecnia"/>
      </sharedItems>
    </cacheField>
    <cacheField name="Nivel" numFmtId="0">
      <sharedItems count="2">
        <s v="TSU"/>
        <s v="ING"/>
      </sharedItems>
    </cacheField>
    <cacheField name="Modalidad" numFmtId="0">
      <sharedItems/>
    </cacheField>
    <cacheField name="Sede (Extensión, Campus O Unidad Académica)" numFmtId="0">
      <sharedItems/>
    </cacheField>
    <cacheField name="Número total de fichas entregadas para alumnos de nuevo ingreso" numFmtId="3">
      <sharedItems containsSemiMixedTypes="0" containsString="0" containsNumber="1" containsInteger="1" minValue="0" maxValue="229"/>
    </cacheField>
    <cacheField name="Hom" numFmtId="3">
      <sharedItems containsSemiMixedTypes="0" containsString="0" containsNumber="1" containsInteger="1" minValue="0" maxValue="94"/>
    </cacheField>
    <cacheField name="Muj" numFmtId="3">
      <sharedItems containsSemiMixedTypes="0" containsString="0" containsNumber="1" containsInteger="1" minValue="0" maxValue="112"/>
    </cacheField>
    <cacheField name="Suma" numFmtId="3">
      <sharedItems containsSemiMixedTypes="0" containsString="0" containsNumber="1" containsInteger="1" minValue="0" maxValue="166"/>
    </cacheField>
    <cacheField name="Hom2" numFmtId="3">
      <sharedItems containsSemiMixedTypes="0" containsString="0" containsNumber="1" containsInteger="1" minValue="0" maxValue="117"/>
    </cacheField>
    <cacheField name="Muj2" numFmtId="3">
      <sharedItems containsString="0" containsBlank="1" containsNumber="1" containsInteger="1" minValue="0" maxValue="97"/>
    </cacheField>
    <cacheField name="Suma2" numFmtId="3">
      <sharedItems containsSemiMixedTypes="0" containsString="0" containsNumber="1" containsInteger="1" minValue="0" maxValue="158"/>
    </cacheField>
    <cacheField name="Hom3" numFmtId="3">
      <sharedItems containsSemiMixedTypes="0" containsString="0" containsNumber="1" containsInteger="1" minValue="1" maxValue="206"/>
    </cacheField>
    <cacheField name="Muj3" numFmtId="3">
      <sharedItems containsSemiMixedTypes="0" containsString="0" containsNumber="1" containsInteger="1" minValue="0" maxValue="187"/>
    </cacheField>
    <cacheField name="Total  Matrícula" numFmtId="3">
      <sharedItems containsSemiMixedTypes="0" containsString="0" containsNumber="1" containsInteger="1" minValue="1" maxValue="27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Usuario de Windows" refreshedDate="44839.472590972226" createdVersion="6" refreshedVersion="6" minRefreshableVersion="3" recordCount="72">
  <cacheSource type="worksheet">
    <worksheetSource ref="U8:U80" sheet="Indicadores 2024-2025 GLOBAL"/>
  </cacheSource>
  <cacheFields count="1">
    <cacheField name="Área responsable de proporcionar el plan de acción" numFmtId="0">
      <sharedItems containsBlank="1" count="14">
        <s v="Dirección Académica"/>
        <m/>
        <s v="Servicios Escolares"/>
        <s v="Área responsable de proporcionar el plan de acción"/>
        <s v="Recursos Humanos"/>
        <s v="Servicios Estudiantiles"/>
        <s v="Bolsa de Trabajo"/>
        <s v="Vinculación"/>
        <s v="Investigación"/>
        <s v="Promoción y Difusión"/>
        <s v="Servicios Generales"/>
        <s v="CIBI"/>
        <s v="Sistemas"/>
        <s v="Dirección Administrati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6">
  <r>
    <x v="0"/>
    <x v="0"/>
    <s v="Escolarizado (L-V)"/>
    <s v="Campo Grande"/>
    <n v="34"/>
    <n v="8"/>
    <n v="8"/>
    <n v="16"/>
    <n v="0"/>
    <n v="7"/>
    <n v="7"/>
    <n v="8"/>
    <n v="15"/>
    <n v="23"/>
  </r>
  <r>
    <x v="1"/>
    <x v="0"/>
    <s v="Escolarizado (L-V)"/>
    <s v="Campo Grande"/>
    <n v="15"/>
    <n v="7"/>
    <n v="2"/>
    <n v="9"/>
    <n v="0"/>
    <n v="0"/>
    <n v="0"/>
    <n v="7"/>
    <n v="2"/>
    <n v="9"/>
  </r>
  <r>
    <x v="2"/>
    <x v="0"/>
    <s v="Despresurizado"/>
    <s v="Campo Grande"/>
    <n v="36"/>
    <n v="12"/>
    <n v="7"/>
    <n v="19"/>
    <n v="18"/>
    <n v="9"/>
    <n v="27"/>
    <n v="30"/>
    <n v="16"/>
    <n v="46"/>
  </r>
  <r>
    <x v="3"/>
    <x v="0"/>
    <s v="Escolarizado (L-V)"/>
    <s v="Cuitláhuac"/>
    <n v="61"/>
    <n v="18"/>
    <n v="19"/>
    <n v="37"/>
    <n v="15"/>
    <n v="7"/>
    <n v="22"/>
    <n v="33"/>
    <n v="26"/>
    <n v="59"/>
  </r>
  <r>
    <x v="3"/>
    <x v="0"/>
    <s v="Despresurizado"/>
    <s v="Cuitláhuac"/>
    <n v="92"/>
    <n v="32"/>
    <n v="28"/>
    <n v="60"/>
    <n v="27"/>
    <n v="24"/>
    <n v="51"/>
    <n v="59"/>
    <n v="52"/>
    <n v="111"/>
  </r>
  <r>
    <x v="0"/>
    <x v="0"/>
    <s v="Escolarizado (L-V)"/>
    <s v="Cuitláhuac"/>
    <n v="229"/>
    <n v="54"/>
    <n v="112"/>
    <n v="166"/>
    <n v="35"/>
    <n v="75"/>
    <n v="110"/>
    <n v="89"/>
    <n v="187"/>
    <n v="276"/>
  </r>
  <r>
    <x v="0"/>
    <x v="0"/>
    <s v="Despresurizado"/>
    <s v="Cuitláhuac"/>
    <n v="145"/>
    <n v="33"/>
    <n v="85"/>
    <n v="118"/>
    <n v="56"/>
    <n v="97"/>
    <n v="153"/>
    <n v="89"/>
    <n v="182"/>
    <n v="271"/>
  </r>
  <r>
    <x v="4"/>
    <x v="0"/>
    <s v="Escolarizado (L-V)"/>
    <s v="Cuitláhuac"/>
    <n v="45"/>
    <n v="19"/>
    <n v="11"/>
    <n v="30"/>
    <n v="15"/>
    <n v="7"/>
    <n v="22"/>
    <n v="34"/>
    <n v="18"/>
    <n v="52"/>
  </r>
  <r>
    <x v="4"/>
    <x v="0"/>
    <s v="Despresurizado"/>
    <s v="Cuitláhuac"/>
    <n v="36"/>
    <n v="24"/>
    <n v="7"/>
    <n v="31"/>
    <n v="13"/>
    <n v="6"/>
    <n v="19"/>
    <n v="37"/>
    <n v="13"/>
    <n v="50"/>
  </r>
  <r>
    <x v="5"/>
    <x v="0"/>
    <s v="Escolarizado (L-V)"/>
    <s v="Cuitláhuac"/>
    <n v="179"/>
    <n v="57"/>
    <n v="72"/>
    <n v="129"/>
    <n v="33"/>
    <n v="54"/>
    <n v="87"/>
    <n v="90"/>
    <n v="126"/>
    <n v="216"/>
  </r>
  <r>
    <x v="5"/>
    <x v="0"/>
    <s v="Despresurizado"/>
    <s v="Cuitláhuac"/>
    <n v="95"/>
    <n v="34"/>
    <n v="38"/>
    <n v="72"/>
    <n v="24"/>
    <n v="49"/>
    <n v="73"/>
    <n v="58"/>
    <n v="87"/>
    <n v="145"/>
  </r>
  <r>
    <x v="6"/>
    <x v="0"/>
    <s v="Escolarizado (L-V)"/>
    <s v="Cuitláhuac"/>
    <n v="18"/>
    <n v="5"/>
    <n v="7"/>
    <n v="12"/>
    <n v="3"/>
    <n v="4"/>
    <n v="7"/>
    <n v="8"/>
    <n v="11"/>
    <n v="19"/>
  </r>
  <r>
    <x v="7"/>
    <x v="0"/>
    <s v="Escolarizado (L-V)"/>
    <s v="Cuitláhuac"/>
    <n v="51"/>
    <n v="11"/>
    <n v="26"/>
    <n v="37"/>
    <n v="4"/>
    <n v="10"/>
    <n v="14"/>
    <n v="15"/>
    <n v="36"/>
    <n v="51"/>
  </r>
  <r>
    <x v="7"/>
    <x v="0"/>
    <s v="Despresurizado"/>
    <s v="Cuitláhuac"/>
    <n v="50"/>
    <n v="14"/>
    <n v="17"/>
    <n v="31"/>
    <n v="11"/>
    <n v="14"/>
    <n v="25"/>
    <n v="25"/>
    <n v="31"/>
    <n v="56"/>
  </r>
  <r>
    <x v="2"/>
    <x v="0"/>
    <s v="Escolarizado (L-V)"/>
    <s v="Cuitláhuac"/>
    <n v="168"/>
    <n v="94"/>
    <n v="33"/>
    <n v="127"/>
    <n v="62"/>
    <n v="27"/>
    <n v="89"/>
    <n v="156"/>
    <n v="60"/>
    <n v="216"/>
  </r>
  <r>
    <x v="2"/>
    <x v="0"/>
    <s v="Despresurizado"/>
    <s v="Cuitláhuac"/>
    <n v="149"/>
    <n v="89"/>
    <n v="22"/>
    <n v="111"/>
    <n v="117"/>
    <n v="41"/>
    <n v="158"/>
    <n v="206"/>
    <n v="63"/>
    <n v="269"/>
  </r>
  <r>
    <x v="8"/>
    <x v="0"/>
    <s v="Escolarizado (L-V)"/>
    <s v="Cuitláhuac"/>
    <n v="41"/>
    <n v="12"/>
    <n v="14"/>
    <n v="26"/>
    <n v="8"/>
    <n v="8"/>
    <n v="16"/>
    <n v="20"/>
    <n v="22"/>
    <n v="42"/>
  </r>
  <r>
    <x v="8"/>
    <x v="0"/>
    <s v="Despresurizado"/>
    <s v="Cuitláhuac"/>
    <n v="4"/>
    <n v="0"/>
    <n v="0"/>
    <n v="0"/>
    <n v="9"/>
    <n v="4"/>
    <n v="13"/>
    <n v="9"/>
    <n v="4"/>
    <n v="13"/>
  </r>
  <r>
    <x v="9"/>
    <x v="0"/>
    <s v="Escolarizado (L-V)"/>
    <s v="Cuitláhuac"/>
    <n v="132"/>
    <n v="91"/>
    <n v="7"/>
    <n v="98"/>
    <n v="40"/>
    <n v="6"/>
    <n v="46"/>
    <n v="131"/>
    <n v="13"/>
    <n v="144"/>
  </r>
  <r>
    <x v="9"/>
    <x v="0"/>
    <s v="Despresurizado"/>
    <s v="Cuitláhuac"/>
    <n v="97"/>
    <n v="66"/>
    <n v="3"/>
    <n v="69"/>
    <n v="95"/>
    <n v="8"/>
    <n v="103"/>
    <n v="161"/>
    <n v="11"/>
    <n v="172"/>
  </r>
  <r>
    <x v="1"/>
    <x v="0"/>
    <s v="Escolarizado (L-V)"/>
    <s v="Cuitláhuac"/>
    <n v="130"/>
    <n v="76"/>
    <n v="16"/>
    <n v="92"/>
    <n v="73"/>
    <n v="12"/>
    <n v="85"/>
    <n v="149"/>
    <n v="28"/>
    <n v="177"/>
  </r>
  <r>
    <x v="1"/>
    <x v="0"/>
    <s v="Despresurizado"/>
    <s v="Cuitláhuac"/>
    <n v="54"/>
    <n v="36"/>
    <n v="3"/>
    <n v="39"/>
    <n v="67"/>
    <n v="7"/>
    <n v="74"/>
    <n v="103"/>
    <n v="10"/>
    <n v="113"/>
  </r>
  <r>
    <x v="10"/>
    <x v="0"/>
    <s v="Escolarizado (L-V)"/>
    <s v="Cuitláhuac"/>
    <n v="51"/>
    <n v="11"/>
    <n v="19"/>
    <n v="30"/>
    <n v="9"/>
    <n v="9"/>
    <n v="18"/>
    <n v="20"/>
    <n v="28"/>
    <n v="48"/>
  </r>
  <r>
    <x v="11"/>
    <x v="0"/>
    <s v="Escolarizado (L-V)"/>
    <s v="Cuitláhuac"/>
    <n v="96"/>
    <n v="15"/>
    <n v="52"/>
    <n v="67"/>
    <n v="10"/>
    <n v="25"/>
    <n v="35"/>
    <n v="25"/>
    <n v="77"/>
    <n v="102"/>
  </r>
  <r>
    <x v="11"/>
    <x v="0"/>
    <s v="Despresurizado"/>
    <s v="Cuitláhuac"/>
    <n v="55"/>
    <n v="8"/>
    <n v="29"/>
    <n v="37"/>
    <n v="15"/>
    <n v="38"/>
    <n v="53"/>
    <n v="23"/>
    <n v="67"/>
    <n v="90"/>
  </r>
  <r>
    <x v="12"/>
    <x v="0"/>
    <s v="Escolarizado (L-V)"/>
    <s v="Cuitláhuac"/>
    <n v="80"/>
    <n v="40"/>
    <n v="15"/>
    <n v="55"/>
    <n v="17"/>
    <n v="5"/>
    <n v="22"/>
    <n v="57"/>
    <n v="20"/>
    <n v="77"/>
  </r>
  <r>
    <x v="12"/>
    <x v="0"/>
    <s v="Despresurizado"/>
    <s v="Cuitláhuac"/>
    <n v="49"/>
    <n v="30"/>
    <n v="9"/>
    <n v="39"/>
    <n v="14"/>
    <n v="6"/>
    <n v="20"/>
    <n v="44"/>
    <n v="15"/>
    <n v="59"/>
  </r>
  <r>
    <x v="13"/>
    <x v="0"/>
    <s v="Escolarizado (L-V)"/>
    <s v="Cuitláhuac"/>
    <n v="43"/>
    <n v="16"/>
    <n v="22"/>
    <n v="38"/>
    <n v="5"/>
    <n v="7"/>
    <n v="12"/>
    <n v="21"/>
    <n v="29"/>
    <n v="50"/>
  </r>
  <r>
    <x v="13"/>
    <x v="0"/>
    <s v="Despresurizado"/>
    <s v="Cuitláhuac"/>
    <n v="43"/>
    <n v="20"/>
    <n v="12"/>
    <n v="32"/>
    <n v="15"/>
    <n v="14"/>
    <n v="29"/>
    <n v="35"/>
    <n v="26"/>
    <n v="61"/>
  </r>
  <r>
    <x v="14"/>
    <x v="0"/>
    <s v="Escolarizado (L-V)"/>
    <s v="Cuitláhuac"/>
    <n v="36"/>
    <n v="17"/>
    <n v="11"/>
    <n v="28"/>
    <n v="6"/>
    <n v="4"/>
    <n v="10"/>
    <n v="23"/>
    <n v="15"/>
    <n v="38"/>
  </r>
  <r>
    <x v="14"/>
    <x v="0"/>
    <s v="Despresurizado"/>
    <s v="Cuitláhuac"/>
    <n v="9"/>
    <n v="0"/>
    <n v="0"/>
    <n v="0"/>
    <n v="1"/>
    <n v="3"/>
    <n v="4"/>
    <n v="1"/>
    <n v="3"/>
    <n v="4"/>
  </r>
  <r>
    <x v="15"/>
    <x v="0"/>
    <s v="Escolarizado (L-V)"/>
    <s v="Cuitláhuac"/>
    <n v="189"/>
    <n v="23"/>
    <n v="106"/>
    <n v="129"/>
    <n v="21"/>
    <n v="62"/>
    <n v="83"/>
    <n v="44"/>
    <n v="168"/>
    <n v="212"/>
  </r>
  <r>
    <x v="15"/>
    <x v="0"/>
    <s v="Despresurizado"/>
    <s v="Cuitláhuac"/>
    <n v="47"/>
    <n v="8"/>
    <n v="25"/>
    <n v="33"/>
    <n v="22"/>
    <n v="58"/>
    <n v="80"/>
    <n v="30"/>
    <n v="83"/>
    <n v="113"/>
  </r>
  <r>
    <x v="5"/>
    <x v="0"/>
    <s v="Escolarizado (L-V)"/>
    <s v="Maltrata"/>
    <n v="45"/>
    <n v="17"/>
    <n v="17"/>
    <n v="34"/>
    <n v="12"/>
    <n v="9"/>
    <n v="21"/>
    <n v="29"/>
    <n v="26"/>
    <n v="55"/>
  </r>
  <r>
    <x v="5"/>
    <x v="0"/>
    <s v="Despresurizado"/>
    <s v="Maltrata"/>
    <n v="43"/>
    <n v="13"/>
    <n v="11"/>
    <n v="24"/>
    <n v="6"/>
    <n v="9"/>
    <n v="15"/>
    <n v="19"/>
    <n v="20"/>
    <n v="39"/>
  </r>
  <r>
    <x v="7"/>
    <x v="0"/>
    <s v="Escolarizado (L-V)"/>
    <s v="Maltrata"/>
    <n v="0"/>
    <n v="0"/>
    <n v="0"/>
    <n v="0"/>
    <n v="1"/>
    <n v="0"/>
    <n v="1"/>
    <n v="1"/>
    <n v="0"/>
    <n v="1"/>
  </r>
  <r>
    <x v="2"/>
    <x v="0"/>
    <s v="Escolarizado (L-V)"/>
    <s v="Maltrata"/>
    <n v="23"/>
    <n v="12"/>
    <n v="3"/>
    <n v="15"/>
    <n v="10"/>
    <n v="1"/>
    <n v="11"/>
    <n v="22"/>
    <n v="4"/>
    <n v="26"/>
  </r>
  <r>
    <x v="2"/>
    <x v="0"/>
    <s v="Despresurizado"/>
    <s v="Maltrata"/>
    <n v="35"/>
    <n v="16"/>
    <n v="7"/>
    <n v="23"/>
    <n v="9"/>
    <n v="6"/>
    <n v="15"/>
    <n v="25"/>
    <n v="13"/>
    <n v="38"/>
  </r>
  <r>
    <x v="9"/>
    <x v="0"/>
    <s v="Escolarizado (L-V)"/>
    <s v="Maltrata"/>
    <n v="42"/>
    <n v="27"/>
    <n v="2"/>
    <n v="29"/>
    <n v="9"/>
    <m/>
    <n v="9"/>
    <n v="36"/>
    <n v="2"/>
    <n v="38"/>
  </r>
  <r>
    <x v="9"/>
    <x v="0"/>
    <s v="Despresurizado"/>
    <s v="Maltrata"/>
    <n v="24"/>
    <n v="18"/>
    <n v="2"/>
    <n v="20"/>
    <n v="23"/>
    <n v="1"/>
    <n v="24"/>
    <n v="41"/>
    <n v="3"/>
    <n v="44"/>
  </r>
  <r>
    <x v="15"/>
    <x v="0"/>
    <s v="Escolarizado (L-V)"/>
    <s v="Maltrata"/>
    <n v="20"/>
    <n v="4"/>
    <n v="10"/>
    <n v="14"/>
    <n v="3"/>
    <n v="7"/>
    <n v="10"/>
    <n v="7"/>
    <n v="17"/>
    <n v="24"/>
  </r>
  <r>
    <x v="15"/>
    <x v="0"/>
    <s v="Despresurizado"/>
    <s v="Maltrata"/>
    <n v="17"/>
    <n v="0"/>
    <n v="10"/>
    <n v="10"/>
    <n v="3"/>
    <n v="3"/>
    <n v="6"/>
    <n v="3"/>
    <n v="13"/>
    <n v="16"/>
  </r>
  <r>
    <x v="16"/>
    <x v="1"/>
    <s v="Escolarizado (L-V)"/>
    <s v="Cuitláhuac"/>
    <n v="26"/>
    <n v="15"/>
    <n v="7"/>
    <n v="22"/>
    <n v="0"/>
    <n v="0"/>
    <n v="0"/>
    <n v="15"/>
    <n v="7"/>
    <n v="22"/>
  </r>
  <r>
    <x v="16"/>
    <x v="1"/>
    <s v="Escolarizado (V-S)"/>
    <s v="Cuitláhuac"/>
    <n v="24"/>
    <n v="17"/>
    <n v="11"/>
    <n v="28"/>
    <n v="17"/>
    <n v="12"/>
    <n v="29"/>
    <n v="34"/>
    <n v="23"/>
    <n v="57"/>
  </r>
  <r>
    <x v="17"/>
    <x v="1"/>
    <s v="Escolarizado (V-S)"/>
    <s v="Cuitláhuac"/>
    <n v="32"/>
    <n v="24"/>
    <n v="6"/>
    <n v="30"/>
    <n v="25"/>
    <n v="10"/>
    <n v="35"/>
    <n v="49"/>
    <n v="16"/>
    <n v="65"/>
  </r>
  <r>
    <x v="18"/>
    <x v="1"/>
    <s v="Escolarizado (L-V)"/>
    <s v="Cuitláhuac"/>
    <n v="97"/>
    <n v="69"/>
    <n v="23"/>
    <n v="92"/>
    <n v="82"/>
    <n v="21"/>
    <n v="103"/>
    <n v="151"/>
    <n v="44"/>
    <n v="195"/>
  </r>
  <r>
    <x v="18"/>
    <x v="1"/>
    <s v="Escolarizado (V-S)"/>
    <s v="Cuitláhuac"/>
    <n v="88"/>
    <n v="73"/>
    <n v="13"/>
    <n v="86"/>
    <n v="69"/>
    <n v="16"/>
    <n v="85"/>
    <n v="142"/>
    <n v="29"/>
    <n v="171"/>
  </r>
  <r>
    <x v="19"/>
    <x v="1"/>
    <s v="Escolarizado (L-V)"/>
    <s v="Cuitláhuac"/>
    <n v="69"/>
    <n v="61"/>
    <n v="8"/>
    <n v="69"/>
    <n v="35"/>
    <n v="14"/>
    <n v="49"/>
    <n v="96"/>
    <n v="22"/>
    <n v="118"/>
  </r>
  <r>
    <x v="19"/>
    <x v="1"/>
    <s v="Escolarizado (V-S)"/>
    <s v="Cuitláhuac"/>
    <n v="29"/>
    <n v="22"/>
    <n v="5"/>
    <n v="27"/>
    <n v="19"/>
    <n v="2"/>
    <n v="21"/>
    <n v="41"/>
    <n v="7"/>
    <n v="48"/>
  </r>
  <r>
    <x v="20"/>
    <x v="1"/>
    <s v="Escolarizado (L-V)"/>
    <s v="Cuitláhuac"/>
    <n v="57"/>
    <n v="45"/>
    <n v="7"/>
    <n v="52"/>
    <n v="50"/>
    <n v="2"/>
    <n v="52"/>
    <n v="95"/>
    <n v="9"/>
    <n v="104"/>
  </r>
  <r>
    <x v="20"/>
    <x v="1"/>
    <s v="Escolarizado (V-S)"/>
    <s v="Cuitláhuac"/>
    <n v="46"/>
    <n v="47"/>
    <n v="0"/>
    <n v="47"/>
    <n v="23"/>
    <n v="0"/>
    <n v="23"/>
    <n v="70"/>
    <n v="0"/>
    <n v="70"/>
  </r>
  <r>
    <x v="21"/>
    <x v="1"/>
    <s v="Escolarizado (L-V)"/>
    <s v="Cuitláhuac"/>
    <n v="36"/>
    <n v="10"/>
    <n v="26"/>
    <n v="36"/>
    <n v="6"/>
    <n v="27"/>
    <n v="33"/>
    <n v="16"/>
    <n v="53"/>
    <n v="69"/>
  </r>
  <r>
    <x v="21"/>
    <x v="1"/>
    <s v="Escolarizado (V-S)"/>
    <s v="Cuitláhuac"/>
    <n v="35"/>
    <n v="12"/>
    <n v="22"/>
    <n v="34"/>
    <n v="10"/>
    <n v="20"/>
    <n v="30"/>
    <n v="22"/>
    <n v="42"/>
    <n v="64"/>
  </r>
  <r>
    <x v="22"/>
    <x v="1"/>
    <s v="Escolarizado (L-V)"/>
    <s v="Cuitláhuac"/>
    <n v="19"/>
    <n v="11"/>
    <n v="8"/>
    <n v="19"/>
    <n v="12"/>
    <n v="6"/>
    <n v="18"/>
    <n v="23"/>
    <n v="14"/>
    <n v="37"/>
  </r>
  <r>
    <x v="22"/>
    <x v="1"/>
    <s v="Escolarizado (V-S)"/>
    <s v="Cuitláhuac"/>
    <n v="8"/>
    <n v="7"/>
    <n v="1"/>
    <n v="8"/>
    <n v="4"/>
    <n v="2"/>
    <n v="6"/>
    <n v="11"/>
    <n v="3"/>
    <n v="14"/>
  </r>
  <r>
    <x v="23"/>
    <x v="1"/>
    <s v="Escolarizado (L-V)"/>
    <s v="Cuitláhuac"/>
    <n v="16"/>
    <n v="11"/>
    <n v="5"/>
    <n v="16"/>
    <n v="5"/>
    <n v="6"/>
    <n v="11"/>
    <n v="16"/>
    <n v="11"/>
    <n v="27"/>
  </r>
  <r>
    <x v="23"/>
    <x v="1"/>
    <s v="Escolarizado (V-S)"/>
    <s v="Cuitláhuac"/>
    <n v="11"/>
    <n v="7"/>
    <n v="4"/>
    <n v="11"/>
    <n v="9"/>
    <n v="4"/>
    <n v="13"/>
    <n v="16"/>
    <n v="8"/>
    <n v="24"/>
  </r>
  <r>
    <x v="24"/>
    <x v="1"/>
    <s v="Escolarizado (L-V)"/>
    <s v="Cuitláhuac"/>
    <n v="15"/>
    <n v="7"/>
    <n v="8"/>
    <n v="15"/>
    <n v="11"/>
    <n v="5"/>
    <n v="16"/>
    <n v="18"/>
    <n v="13"/>
    <n v="31"/>
  </r>
  <r>
    <x v="24"/>
    <x v="1"/>
    <s v="Escolarizado (V-S)"/>
    <s v="Cuitláhuac"/>
    <n v="9"/>
    <n v="3"/>
    <n v="5"/>
    <n v="8"/>
    <n v="4"/>
    <n v="3"/>
    <n v="7"/>
    <n v="7"/>
    <n v="8"/>
    <n v="15"/>
  </r>
  <r>
    <x v="25"/>
    <x v="1"/>
    <s v="Escolarizado (L-V)"/>
    <s v="Cuitláhuac"/>
    <n v="0"/>
    <n v="0"/>
    <n v="0"/>
    <n v="0"/>
    <n v="1"/>
    <n v="0"/>
    <n v="1"/>
    <n v="1"/>
    <n v="0"/>
    <n v="1"/>
  </r>
  <r>
    <x v="26"/>
    <x v="1"/>
    <s v="Escolarizado (L-V)"/>
    <s v="Cuitláhuac"/>
    <n v="36"/>
    <n v="9"/>
    <n v="26"/>
    <n v="35"/>
    <n v="4"/>
    <n v="12"/>
    <n v="16"/>
    <n v="13"/>
    <n v="38"/>
    <n v="51"/>
  </r>
  <r>
    <x v="27"/>
    <x v="1"/>
    <s v="Escolarizado (L-V)"/>
    <s v="Cuitláhuac"/>
    <n v="76"/>
    <n v="30"/>
    <n v="43"/>
    <n v="73"/>
    <n v="28"/>
    <n v="43"/>
    <n v="71"/>
    <n v="58"/>
    <n v="86"/>
    <n v="144"/>
  </r>
  <r>
    <x v="27"/>
    <x v="1"/>
    <s v="Escolarizado (V-S)"/>
    <s v="Cuitláhuac"/>
    <n v="28"/>
    <n v="9"/>
    <n v="19"/>
    <n v="28"/>
    <n v="12"/>
    <n v="9"/>
    <n v="21"/>
    <n v="21"/>
    <n v="28"/>
    <n v="49"/>
  </r>
  <r>
    <x v="28"/>
    <x v="1"/>
    <s v="Escolarizado (L-V)"/>
    <s v="Cuitláhuac"/>
    <n v="111"/>
    <n v="28"/>
    <n v="81"/>
    <n v="109"/>
    <n v="19"/>
    <n v="65"/>
    <n v="84"/>
    <n v="47"/>
    <n v="146"/>
    <n v="193"/>
  </r>
  <r>
    <x v="28"/>
    <x v="1"/>
    <s v="Escolarizado (V-S)"/>
    <s v="Cuitláhuac"/>
    <n v="51"/>
    <n v="7"/>
    <n v="45"/>
    <n v="52"/>
    <n v="8"/>
    <n v="28"/>
    <n v="36"/>
    <n v="15"/>
    <n v="73"/>
    <n v="88"/>
  </r>
  <r>
    <x v="29"/>
    <x v="1"/>
    <s v="Escolarizado (L-V)"/>
    <s v="Cuitláhuac"/>
    <n v="115"/>
    <n v="42"/>
    <n v="70"/>
    <n v="112"/>
    <n v="26"/>
    <n v="81"/>
    <n v="107"/>
    <n v="68"/>
    <n v="151"/>
    <n v="219"/>
  </r>
  <r>
    <x v="29"/>
    <x v="1"/>
    <s v="Escolarizado (V-S)"/>
    <s v="Cuitláhuac"/>
    <n v="70"/>
    <n v="14"/>
    <n v="48"/>
    <n v="62"/>
    <n v="22"/>
    <n v="60"/>
    <n v="82"/>
    <n v="36"/>
    <n v="108"/>
    <n v="144"/>
  </r>
  <r>
    <x v="20"/>
    <x v="1"/>
    <s v="Escolarizado (L-V)"/>
    <s v="Maltrata"/>
    <n v="15"/>
    <n v="15"/>
    <n v="0"/>
    <n v="15"/>
    <n v="13"/>
    <n v="1"/>
    <n v="14"/>
    <n v="28"/>
    <n v="1"/>
    <n v="29"/>
  </r>
  <r>
    <x v="20"/>
    <x v="1"/>
    <s v="Escolarizado (V-S)"/>
    <s v="Maltrata"/>
    <n v="10"/>
    <n v="10"/>
    <n v="0"/>
    <n v="10"/>
    <n v="16"/>
    <n v="0"/>
    <n v="16"/>
    <n v="26"/>
    <n v="0"/>
    <n v="26"/>
  </r>
  <r>
    <x v="18"/>
    <x v="1"/>
    <s v="Escolarizado (L-V)"/>
    <s v="Maltrata"/>
    <n v="18"/>
    <n v="10"/>
    <n v="6"/>
    <n v="16"/>
    <n v="4"/>
    <n v="3"/>
    <n v="7"/>
    <n v="14"/>
    <n v="9"/>
    <n v="23"/>
  </r>
  <r>
    <x v="18"/>
    <x v="1"/>
    <s v="Escolarizado (V-S)"/>
    <s v="Maltrata"/>
    <n v="22"/>
    <n v="19"/>
    <n v="2"/>
    <n v="21"/>
    <n v="33"/>
    <n v="9"/>
    <n v="42"/>
    <n v="52"/>
    <n v="11"/>
    <n v="63"/>
  </r>
  <r>
    <x v="26"/>
    <x v="1"/>
    <s v="Escolarizado (V-S)"/>
    <s v="Maltrata"/>
    <n v="0"/>
    <n v="0"/>
    <n v="0"/>
    <n v="0"/>
    <n v="5"/>
    <n v="5"/>
    <n v="10"/>
    <n v="5"/>
    <n v="5"/>
    <n v="10"/>
  </r>
  <r>
    <x v="27"/>
    <x v="1"/>
    <s v="Escolarizado (L-V)"/>
    <s v="Maltrata"/>
    <n v="26"/>
    <n v="11"/>
    <n v="13"/>
    <n v="24"/>
    <n v="7"/>
    <n v="8"/>
    <n v="15"/>
    <n v="18"/>
    <n v="21"/>
    <n v="39"/>
  </r>
  <r>
    <x v="27"/>
    <x v="1"/>
    <s v="Escolarizado (V-S)"/>
    <s v="Maltrata"/>
    <n v="0"/>
    <n v="0"/>
    <n v="0"/>
    <n v="0"/>
    <n v="7"/>
    <n v="7"/>
    <n v="14"/>
    <n v="7"/>
    <n v="7"/>
    <n v="14"/>
  </r>
  <r>
    <x v="28"/>
    <x v="1"/>
    <s v="Escolarizado (L-V)"/>
    <s v="Maltrata"/>
    <n v="10"/>
    <n v="1"/>
    <n v="8"/>
    <n v="9"/>
    <n v="0"/>
    <n v="0"/>
    <n v="0"/>
    <n v="1"/>
    <n v="8"/>
    <n v="9"/>
  </r>
  <r>
    <x v="28"/>
    <x v="1"/>
    <s v="Escolarizado (L-V)"/>
    <s v="Maltrata"/>
    <n v="0"/>
    <n v="0"/>
    <n v="0"/>
    <n v="0"/>
    <n v="6"/>
    <n v="17"/>
    <n v="23"/>
    <n v="6"/>
    <n v="17"/>
    <n v="23"/>
  </r>
</pivotCacheRecords>
</file>

<file path=xl/pivotCache/pivotCacheRecords2.xml><?xml version="1.0" encoding="utf-8"?>
<pivotCacheRecords xmlns="http://schemas.openxmlformats.org/spreadsheetml/2006/main" xmlns:r="http://schemas.openxmlformats.org/officeDocument/2006/relationships" count="72">
  <r>
    <x v="0"/>
  </r>
  <r>
    <x v="1"/>
  </r>
  <r>
    <x v="0"/>
  </r>
  <r>
    <x v="1"/>
  </r>
  <r>
    <x v="0"/>
  </r>
  <r>
    <x v="1"/>
  </r>
  <r>
    <x v="0"/>
  </r>
  <r>
    <x v="1"/>
  </r>
  <r>
    <x v="2"/>
  </r>
  <r>
    <x v="1"/>
  </r>
  <r>
    <x v="0"/>
  </r>
  <r>
    <x v="1"/>
  </r>
  <r>
    <x v="2"/>
  </r>
  <r>
    <x v="1"/>
  </r>
  <r>
    <x v="0"/>
  </r>
  <r>
    <x v="1"/>
  </r>
  <r>
    <x v="1"/>
  </r>
  <r>
    <x v="1"/>
  </r>
  <r>
    <x v="1"/>
  </r>
  <r>
    <x v="1"/>
  </r>
  <r>
    <x v="3"/>
  </r>
  <r>
    <x v="0"/>
  </r>
  <r>
    <x v="1"/>
  </r>
  <r>
    <x v="4"/>
  </r>
  <r>
    <x v="1"/>
  </r>
  <r>
    <x v="4"/>
  </r>
  <r>
    <x v="1"/>
  </r>
  <r>
    <x v="0"/>
  </r>
  <r>
    <x v="1"/>
  </r>
  <r>
    <x v="0"/>
  </r>
  <r>
    <x v="1"/>
  </r>
  <r>
    <x v="0"/>
  </r>
  <r>
    <x v="1"/>
  </r>
  <r>
    <x v="3"/>
  </r>
  <r>
    <x v="1"/>
  </r>
  <r>
    <x v="1"/>
  </r>
  <r>
    <x v="5"/>
  </r>
  <r>
    <x v="1"/>
  </r>
  <r>
    <x v="5"/>
  </r>
  <r>
    <x v="1"/>
  </r>
  <r>
    <x v="0"/>
  </r>
  <r>
    <x v="1"/>
  </r>
  <r>
    <x v="0"/>
  </r>
  <r>
    <x v="1"/>
  </r>
  <r>
    <x v="6"/>
  </r>
  <r>
    <x v="1"/>
  </r>
  <r>
    <x v="7"/>
  </r>
  <r>
    <x v="1"/>
  </r>
  <r>
    <x v="3"/>
  </r>
  <r>
    <x v="0"/>
  </r>
  <r>
    <x v="1"/>
  </r>
  <r>
    <x v="0"/>
  </r>
  <r>
    <x v="1"/>
  </r>
  <r>
    <x v="8"/>
  </r>
  <r>
    <x v="1"/>
  </r>
  <r>
    <x v="8"/>
  </r>
  <r>
    <x v="1"/>
  </r>
  <r>
    <x v="3"/>
  </r>
  <r>
    <x v="9"/>
  </r>
  <r>
    <x v="1"/>
  </r>
  <r>
    <x v="0"/>
  </r>
  <r>
    <x v="10"/>
  </r>
  <r>
    <x v="11"/>
  </r>
  <r>
    <x v="1"/>
  </r>
  <r>
    <x v="12"/>
  </r>
  <r>
    <x v="1"/>
  </r>
  <r>
    <x v="4"/>
  </r>
  <r>
    <x v="1"/>
  </r>
  <r>
    <x v="4"/>
  </r>
  <r>
    <x v="1"/>
  </r>
  <r>
    <x v="13"/>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97:E100" firstHeaderRow="0" firstDataRow="1" firstDataCol="1"/>
  <pivotFields count="14">
    <pivotField showAll="0">
      <items count="31">
        <item x="16"/>
        <item x="22"/>
        <item x="17"/>
        <item x="24"/>
        <item x="18"/>
        <item x="19"/>
        <item x="20"/>
        <item x="21"/>
        <item x="23"/>
        <item x="25"/>
        <item x="26"/>
        <item x="27"/>
        <item x="28"/>
        <item x="29"/>
        <item x="3"/>
        <item x="0"/>
        <item x="4"/>
        <item x="5"/>
        <item x="6"/>
        <item x="7"/>
        <item x="2"/>
        <item x="8"/>
        <item x="9"/>
        <item x="1"/>
        <item x="10"/>
        <item x="11"/>
        <item x="12"/>
        <item x="13"/>
        <item x="14"/>
        <item x="15"/>
        <item t="default"/>
      </items>
    </pivotField>
    <pivotField axis="axisRow" showAll="0">
      <items count="3">
        <item x="1"/>
        <item x="0"/>
        <item t="default"/>
      </items>
    </pivotField>
    <pivotField showAll="0"/>
    <pivotField showAll="0"/>
    <pivotField numFmtId="3" showAll="0"/>
    <pivotField numFmtId="3" showAll="0"/>
    <pivotField numFmtId="3" showAll="0"/>
    <pivotField numFmtId="3" showAll="0"/>
    <pivotField numFmtId="3" showAll="0"/>
    <pivotField showAll="0"/>
    <pivotField numFmtId="3" showAll="0"/>
    <pivotField dataField="1" numFmtId="3" showAll="0"/>
    <pivotField dataField="1" numFmtId="3" showAll="0"/>
    <pivotField dataField="1" numFmtId="3" showAll="0"/>
  </pivotFields>
  <rowFields count="1">
    <field x="1"/>
  </rowFields>
  <rowItems count="3">
    <i>
      <x/>
    </i>
    <i>
      <x v="1"/>
    </i>
    <i t="grand">
      <x/>
    </i>
  </rowItems>
  <colFields count="1">
    <field x="-2"/>
  </colFields>
  <colItems count="3">
    <i>
      <x/>
    </i>
    <i i="1">
      <x v="1"/>
    </i>
    <i i="2">
      <x v="2"/>
    </i>
  </colItems>
  <dataFields count="3">
    <dataField name="Suma de Hom3" fld="11" baseField="0" baseItem="0"/>
    <dataField name="Suma de Muj3" fld="12" baseField="0" baseItem="0"/>
    <dataField name="Suma de Total  Matrícula" fld="13" baseField="0" baseItem="0"/>
  </dataFields>
  <formats count="22">
    <format dxfId="42">
      <pivotArea type="all" dataOnly="0" outline="0" fieldPosition="0"/>
    </format>
    <format dxfId="41">
      <pivotArea outline="0" collapsedLevelsAreSubtotals="1" fieldPosition="0"/>
    </format>
    <format dxfId="40">
      <pivotArea field="1" type="button" dataOnly="0" labelOnly="1" outline="0" axis="axisRow" fieldPosition="0"/>
    </format>
    <format dxfId="39">
      <pivotArea dataOnly="0" labelOnly="1" fieldPosition="0">
        <references count="1">
          <reference field="1" count="0"/>
        </references>
      </pivotArea>
    </format>
    <format dxfId="38">
      <pivotArea dataOnly="0" labelOnly="1" grandRow="1" outline="0" fieldPosition="0"/>
    </format>
    <format dxfId="37">
      <pivotArea dataOnly="0" labelOnly="1" outline="0" fieldPosition="0">
        <references count="1">
          <reference field="4294967294" count="3">
            <x v="0"/>
            <x v="1"/>
            <x v="2"/>
          </reference>
        </references>
      </pivotArea>
    </format>
    <format dxfId="36">
      <pivotArea field="1" type="button" dataOnly="0" labelOnly="1" outline="0" axis="axisRow" fieldPosition="0"/>
    </format>
    <format dxfId="35">
      <pivotArea dataOnly="0" labelOnly="1" outline="0" fieldPosition="0">
        <references count="1">
          <reference field="4294967294" count="3">
            <x v="0"/>
            <x v="1"/>
            <x v="2"/>
          </reference>
        </references>
      </pivotArea>
    </format>
    <format dxfId="34">
      <pivotArea field="1" type="button" dataOnly="0" labelOnly="1" outline="0" axis="axisRow" fieldPosition="0"/>
    </format>
    <format dxfId="33">
      <pivotArea dataOnly="0" labelOnly="1" outline="0" fieldPosition="0">
        <references count="1">
          <reference field="4294967294" count="3">
            <x v="0"/>
            <x v="1"/>
            <x v="2"/>
          </reference>
        </references>
      </pivotArea>
    </format>
    <format dxfId="32">
      <pivotArea type="all" dataOnly="0" outline="0" fieldPosition="0"/>
    </format>
    <format dxfId="31">
      <pivotArea outline="0" collapsedLevelsAreSubtotals="1" fieldPosition="0"/>
    </format>
    <format dxfId="30">
      <pivotArea field="1" type="button" dataOnly="0" labelOnly="1" outline="0" axis="axisRow" fieldPosition="0"/>
    </format>
    <format dxfId="29">
      <pivotArea dataOnly="0" labelOnly="1" fieldPosition="0">
        <references count="1">
          <reference field="1" count="0"/>
        </references>
      </pivotArea>
    </format>
    <format dxfId="28">
      <pivotArea dataOnly="0" labelOnly="1" grandRow="1" outline="0" fieldPosition="0"/>
    </format>
    <format dxfId="27">
      <pivotArea dataOnly="0" labelOnly="1" outline="0" fieldPosition="0">
        <references count="1">
          <reference field="4294967294" count="3">
            <x v="0"/>
            <x v="1"/>
            <x v="2"/>
          </reference>
        </references>
      </pivotArea>
    </format>
    <format dxfId="26">
      <pivotArea type="all" dataOnly="0" outline="0" fieldPosition="0"/>
    </format>
    <format dxfId="25">
      <pivotArea outline="0" collapsedLevelsAreSubtotals="1" fieldPosition="0"/>
    </format>
    <format dxfId="24">
      <pivotArea field="1" type="button" dataOnly="0" labelOnly="1" outline="0" axis="axisRow" fieldPosition="0"/>
    </format>
    <format dxfId="23">
      <pivotArea dataOnly="0" labelOnly="1" fieldPosition="0">
        <references count="1">
          <reference field="1" count="0"/>
        </references>
      </pivotArea>
    </format>
    <format dxfId="22">
      <pivotArea dataOnly="0" labelOnly="1" grandRow="1" outline="0" fieldPosition="0"/>
    </format>
    <format dxfId="21">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2:B17" firstHeaderRow="1" firstDataRow="1" firstDataCol="1"/>
  <pivotFields count="1">
    <pivotField axis="axisRow" showAll="0">
      <items count="15">
        <item x="3"/>
        <item x="6"/>
        <item x="11"/>
        <item x="0"/>
        <item x="13"/>
        <item x="8"/>
        <item x="9"/>
        <item x="4"/>
        <item x="2"/>
        <item x="5"/>
        <item x="10"/>
        <item x="12"/>
        <item x="7"/>
        <item x="1"/>
        <item t="default"/>
      </items>
    </pivotField>
  </pivotFields>
  <rowFields count="1">
    <field x="0"/>
  </rowFields>
  <rowItems count="15">
    <i>
      <x/>
    </i>
    <i>
      <x v="1"/>
    </i>
    <i>
      <x v="2"/>
    </i>
    <i>
      <x v="3"/>
    </i>
    <i>
      <x v="4"/>
    </i>
    <i>
      <x v="5"/>
    </i>
    <i>
      <x v="6"/>
    </i>
    <i>
      <x v="7"/>
    </i>
    <i>
      <x v="8"/>
    </i>
    <i>
      <x v="9"/>
    </i>
    <i>
      <x v="10"/>
    </i>
    <i>
      <x v="11"/>
    </i>
    <i>
      <x v="12"/>
    </i>
    <i>
      <x v="13"/>
    </i>
    <i t="grand">
      <x/>
    </i>
  </rowItems>
  <colItems count="1">
    <i/>
  </colItems>
  <formats count="21">
    <format dxfId="20">
      <pivotArea dataOnly="0" labelOnly="1" fieldPosition="0">
        <references count="1">
          <reference field="0" count="2">
            <x v="4"/>
            <x v="5"/>
          </reference>
        </references>
      </pivotArea>
    </format>
    <format dxfId="19">
      <pivotArea dataOnly="0" labelOnly="1" fieldPosition="0">
        <references count="1">
          <reference field="0" count="1">
            <x v="3"/>
          </reference>
        </references>
      </pivotArea>
    </format>
    <format dxfId="18">
      <pivotArea dataOnly="0" labelOnly="1" fieldPosition="0">
        <references count="1">
          <reference field="0" count="1">
            <x v="11"/>
          </reference>
        </references>
      </pivotArea>
    </format>
    <format dxfId="17">
      <pivotArea dataOnly="0" labelOnly="1" fieldPosition="0">
        <references count="1">
          <reference field="0" count="1">
            <x v="10"/>
          </reference>
        </references>
      </pivotArea>
    </format>
    <format dxfId="16">
      <pivotArea dataOnly="0" labelOnly="1" fieldPosition="0">
        <references count="1">
          <reference field="0" count="1">
            <x v="7"/>
          </reference>
        </references>
      </pivotArea>
    </format>
    <format dxfId="15">
      <pivotArea dataOnly="0" labelOnly="1" fieldPosition="0">
        <references count="1">
          <reference field="0" count="1">
            <x v="12"/>
          </reference>
        </references>
      </pivotArea>
    </format>
    <format dxfId="14">
      <pivotArea dataOnly="0" labelOnly="1" fieldPosition="0">
        <references count="1">
          <reference field="0" count="1">
            <x v="8"/>
          </reference>
        </references>
      </pivotArea>
    </format>
    <format dxfId="13">
      <pivotArea dataOnly="0" labelOnly="1" fieldPosition="0">
        <references count="1">
          <reference field="0" count="1">
            <x v="6"/>
          </reference>
        </references>
      </pivotArea>
    </format>
    <format dxfId="12">
      <pivotArea dataOnly="0" labelOnly="1" fieldPosition="0">
        <references count="1">
          <reference field="0" count="1">
            <x v="9"/>
          </reference>
        </references>
      </pivotArea>
    </format>
    <format dxfId="11">
      <pivotArea dataOnly="0" labelOnly="1" fieldPosition="0">
        <references count="1">
          <reference field="0" count="12">
            <x v="1"/>
            <x v="2"/>
            <x v="3"/>
            <x v="4"/>
            <x v="5"/>
            <x v="6"/>
            <x v="7"/>
            <x v="8"/>
            <x v="9"/>
            <x v="10"/>
            <x v="11"/>
            <x v="12"/>
          </reference>
        </references>
      </pivotArea>
    </format>
    <format dxfId="10">
      <pivotArea dataOnly="0" labelOnly="1" fieldPosition="0">
        <references count="1">
          <reference field="0" count="1">
            <x v="4"/>
          </reference>
        </references>
      </pivotArea>
    </format>
    <format dxfId="9">
      <pivotArea dataOnly="0" labelOnly="1" fieldPosition="0">
        <references count="1">
          <reference field="0" count="1">
            <x v="5"/>
          </reference>
        </references>
      </pivotArea>
    </format>
    <format dxfId="8">
      <pivotArea dataOnly="0" labelOnly="1" fieldPosition="0">
        <references count="1">
          <reference field="0" count="1">
            <x v="8"/>
          </reference>
        </references>
      </pivotArea>
    </format>
    <format dxfId="7">
      <pivotArea dataOnly="0" labelOnly="1" fieldPosition="0">
        <references count="1">
          <reference field="0" count="1">
            <x v="8"/>
          </reference>
        </references>
      </pivotArea>
    </format>
    <format dxfId="6">
      <pivotArea dataOnly="0" labelOnly="1" fieldPosition="0">
        <references count="1">
          <reference field="0" count="1">
            <x v="3"/>
          </reference>
        </references>
      </pivotArea>
    </format>
    <format dxfId="5">
      <pivotArea dataOnly="0" labelOnly="1" fieldPosition="0">
        <references count="1">
          <reference field="0" count="1">
            <x v="11"/>
          </reference>
        </references>
      </pivotArea>
    </format>
    <format dxfId="4">
      <pivotArea dataOnly="0" labelOnly="1" fieldPosition="0">
        <references count="1">
          <reference field="0" count="1">
            <x v="10"/>
          </reference>
        </references>
      </pivotArea>
    </format>
    <format dxfId="3">
      <pivotArea dataOnly="0" labelOnly="1" fieldPosition="0">
        <references count="1">
          <reference field="0" count="1">
            <x v="12"/>
          </reference>
        </references>
      </pivotArea>
    </format>
    <format dxfId="2">
      <pivotArea dataOnly="0" labelOnly="1" fieldPosition="0">
        <references count="1">
          <reference field="0" count="1">
            <x v="6"/>
          </reference>
        </references>
      </pivotArea>
    </format>
    <format dxfId="1">
      <pivotArea dataOnly="0" labelOnly="1" fieldPosition="0">
        <references count="1">
          <reference field="0" count="1">
            <x v="1"/>
          </reference>
        </references>
      </pivotArea>
    </format>
    <format dxfId="0">
      <pivotArea dataOnly="0" labelOnly="1" fieldPosition="0">
        <references count="1">
          <reference field="0" count="13">
            <x v="1"/>
            <x v="2"/>
            <x v="3"/>
            <x v="4"/>
            <x v="5"/>
            <x v="6"/>
            <x v="7"/>
            <x v="8"/>
            <x v="9"/>
            <x v="10"/>
            <x v="11"/>
            <x v="12"/>
            <x v="1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
  <sheetViews>
    <sheetView topLeftCell="A85" zoomScale="75" zoomScaleNormal="75" zoomScaleSheetLayoutView="75" workbookViewId="0">
      <selection activeCell="D64" sqref="D64:D65"/>
    </sheetView>
  </sheetViews>
  <sheetFormatPr baseColWidth="10" defaultRowHeight="13.2" x14ac:dyDescent="0.25"/>
  <cols>
    <col min="1" max="1" width="3.6640625" style="2" customWidth="1"/>
    <col min="2" max="2" width="19.109375" customWidth="1"/>
    <col min="3" max="3" width="15.33203125" customWidth="1"/>
    <col min="4" max="4" width="14.44140625" customWidth="1"/>
    <col min="5" max="5" width="25" customWidth="1"/>
    <col min="6" max="6" width="22.5546875" customWidth="1"/>
    <col min="7" max="7" width="11.5546875" style="2" customWidth="1"/>
    <col min="8" max="8" width="12.33203125" customWidth="1"/>
    <col min="9" max="9" width="12.109375" customWidth="1"/>
    <col min="10" max="11" width="11.5546875" style="2" customWidth="1"/>
    <col min="12" max="14" width="11.5546875" customWidth="1"/>
    <col min="15" max="15" width="15.109375" customWidth="1"/>
    <col min="16" max="16" width="4.33203125" style="2" customWidth="1"/>
    <col min="257" max="257" width="3.6640625" customWidth="1"/>
    <col min="258" max="258" width="44.109375" customWidth="1"/>
    <col min="259" max="259" width="17.109375" bestFit="1" customWidth="1"/>
    <col min="260" max="260" width="17.5546875" customWidth="1"/>
    <col min="261" max="261" width="17.88671875" customWidth="1"/>
    <col min="262" max="262" width="22.5546875" customWidth="1"/>
    <col min="263" max="263" width="11.5546875" customWidth="1"/>
    <col min="264" max="264" width="12.33203125" customWidth="1"/>
    <col min="265" max="265" width="12.109375" customWidth="1"/>
    <col min="266" max="270" width="11.5546875" customWidth="1"/>
    <col min="271" max="271" width="15.109375" customWidth="1"/>
    <col min="272" max="272" width="4.33203125" customWidth="1"/>
    <col min="513" max="513" width="3.6640625" customWidth="1"/>
    <col min="514" max="514" width="44.109375" customWidth="1"/>
    <col min="515" max="515" width="17.109375" bestFit="1" customWidth="1"/>
    <col min="516" max="516" width="17.5546875" customWidth="1"/>
    <col min="517" max="517" width="17.88671875" customWidth="1"/>
    <col min="518" max="518" width="22.5546875" customWidth="1"/>
    <col min="519" max="519" width="11.5546875" customWidth="1"/>
    <col min="520" max="520" width="12.33203125" customWidth="1"/>
    <col min="521" max="521" width="12.109375" customWidth="1"/>
    <col min="522" max="526" width="11.5546875" customWidth="1"/>
    <col min="527" max="527" width="15.109375" customWidth="1"/>
    <col min="528" max="528" width="4.33203125" customWidth="1"/>
    <col min="769" max="769" width="3.6640625" customWidth="1"/>
    <col min="770" max="770" width="44.109375" customWidth="1"/>
    <col min="771" max="771" width="17.109375" bestFit="1" customWidth="1"/>
    <col min="772" max="772" width="17.5546875" customWidth="1"/>
    <col min="773" max="773" width="17.88671875" customWidth="1"/>
    <col min="774" max="774" width="22.5546875" customWidth="1"/>
    <col min="775" max="775" width="11.5546875" customWidth="1"/>
    <col min="776" max="776" width="12.33203125" customWidth="1"/>
    <col min="777" max="777" width="12.109375" customWidth="1"/>
    <col min="778" max="782" width="11.5546875" customWidth="1"/>
    <col min="783" max="783" width="15.109375" customWidth="1"/>
    <col min="784" max="784" width="4.33203125" customWidth="1"/>
    <col min="1025" max="1025" width="3.6640625" customWidth="1"/>
    <col min="1026" max="1026" width="44.109375" customWidth="1"/>
    <col min="1027" max="1027" width="17.109375" bestFit="1" customWidth="1"/>
    <col min="1028" max="1028" width="17.5546875" customWidth="1"/>
    <col min="1029" max="1029" width="17.88671875" customWidth="1"/>
    <col min="1030" max="1030" width="22.5546875" customWidth="1"/>
    <col min="1031" max="1031" width="11.5546875" customWidth="1"/>
    <col min="1032" max="1032" width="12.33203125" customWidth="1"/>
    <col min="1033" max="1033" width="12.109375" customWidth="1"/>
    <col min="1034" max="1038" width="11.5546875" customWidth="1"/>
    <col min="1039" max="1039" width="15.109375" customWidth="1"/>
    <col min="1040" max="1040" width="4.33203125" customWidth="1"/>
    <col min="1281" max="1281" width="3.6640625" customWidth="1"/>
    <col min="1282" max="1282" width="44.109375" customWidth="1"/>
    <col min="1283" max="1283" width="17.109375" bestFit="1" customWidth="1"/>
    <col min="1284" max="1284" width="17.5546875" customWidth="1"/>
    <col min="1285" max="1285" width="17.88671875" customWidth="1"/>
    <col min="1286" max="1286" width="22.5546875" customWidth="1"/>
    <col min="1287" max="1287" width="11.5546875" customWidth="1"/>
    <col min="1288" max="1288" width="12.33203125" customWidth="1"/>
    <col min="1289" max="1289" width="12.109375" customWidth="1"/>
    <col min="1290" max="1294" width="11.5546875" customWidth="1"/>
    <col min="1295" max="1295" width="15.109375" customWidth="1"/>
    <col min="1296" max="1296" width="4.33203125" customWidth="1"/>
    <col min="1537" max="1537" width="3.6640625" customWidth="1"/>
    <col min="1538" max="1538" width="44.109375" customWidth="1"/>
    <col min="1539" max="1539" width="17.109375" bestFit="1" customWidth="1"/>
    <col min="1540" max="1540" width="17.5546875" customWidth="1"/>
    <col min="1541" max="1541" width="17.88671875" customWidth="1"/>
    <col min="1542" max="1542" width="22.5546875" customWidth="1"/>
    <col min="1543" max="1543" width="11.5546875" customWidth="1"/>
    <col min="1544" max="1544" width="12.33203125" customWidth="1"/>
    <col min="1545" max="1545" width="12.109375" customWidth="1"/>
    <col min="1546" max="1550" width="11.5546875" customWidth="1"/>
    <col min="1551" max="1551" width="15.109375" customWidth="1"/>
    <col min="1552" max="1552" width="4.33203125" customWidth="1"/>
    <col min="1793" max="1793" width="3.6640625" customWidth="1"/>
    <col min="1794" max="1794" width="44.109375" customWidth="1"/>
    <col min="1795" max="1795" width="17.109375" bestFit="1" customWidth="1"/>
    <col min="1796" max="1796" width="17.5546875" customWidth="1"/>
    <col min="1797" max="1797" width="17.88671875" customWidth="1"/>
    <col min="1798" max="1798" width="22.5546875" customWidth="1"/>
    <col min="1799" max="1799" width="11.5546875" customWidth="1"/>
    <col min="1800" max="1800" width="12.33203125" customWidth="1"/>
    <col min="1801" max="1801" width="12.109375" customWidth="1"/>
    <col min="1802" max="1806" width="11.5546875" customWidth="1"/>
    <col min="1807" max="1807" width="15.109375" customWidth="1"/>
    <col min="1808" max="1808" width="4.33203125" customWidth="1"/>
    <col min="2049" max="2049" width="3.6640625" customWidth="1"/>
    <col min="2050" max="2050" width="44.109375" customWidth="1"/>
    <col min="2051" max="2051" width="17.109375" bestFit="1" customWidth="1"/>
    <col min="2052" max="2052" width="17.5546875" customWidth="1"/>
    <col min="2053" max="2053" width="17.88671875" customWidth="1"/>
    <col min="2054" max="2054" width="22.5546875" customWidth="1"/>
    <col min="2055" max="2055" width="11.5546875" customWidth="1"/>
    <col min="2056" max="2056" width="12.33203125" customWidth="1"/>
    <col min="2057" max="2057" width="12.109375" customWidth="1"/>
    <col min="2058" max="2062" width="11.5546875" customWidth="1"/>
    <col min="2063" max="2063" width="15.109375" customWidth="1"/>
    <col min="2064" max="2064" width="4.33203125" customWidth="1"/>
    <col min="2305" max="2305" width="3.6640625" customWidth="1"/>
    <col min="2306" max="2306" width="44.109375" customWidth="1"/>
    <col min="2307" max="2307" width="17.109375" bestFit="1" customWidth="1"/>
    <col min="2308" max="2308" width="17.5546875" customWidth="1"/>
    <col min="2309" max="2309" width="17.88671875" customWidth="1"/>
    <col min="2310" max="2310" width="22.5546875" customWidth="1"/>
    <col min="2311" max="2311" width="11.5546875" customWidth="1"/>
    <col min="2312" max="2312" width="12.33203125" customWidth="1"/>
    <col min="2313" max="2313" width="12.109375" customWidth="1"/>
    <col min="2314" max="2318" width="11.5546875" customWidth="1"/>
    <col min="2319" max="2319" width="15.109375" customWidth="1"/>
    <col min="2320" max="2320" width="4.33203125" customWidth="1"/>
    <col min="2561" max="2561" width="3.6640625" customWidth="1"/>
    <col min="2562" max="2562" width="44.109375" customWidth="1"/>
    <col min="2563" max="2563" width="17.109375" bestFit="1" customWidth="1"/>
    <col min="2564" max="2564" width="17.5546875" customWidth="1"/>
    <col min="2565" max="2565" width="17.88671875" customWidth="1"/>
    <col min="2566" max="2566" width="22.5546875" customWidth="1"/>
    <col min="2567" max="2567" width="11.5546875" customWidth="1"/>
    <col min="2568" max="2568" width="12.33203125" customWidth="1"/>
    <col min="2569" max="2569" width="12.109375" customWidth="1"/>
    <col min="2570" max="2574" width="11.5546875" customWidth="1"/>
    <col min="2575" max="2575" width="15.109375" customWidth="1"/>
    <col min="2576" max="2576" width="4.33203125" customWidth="1"/>
    <col min="2817" max="2817" width="3.6640625" customWidth="1"/>
    <col min="2818" max="2818" width="44.109375" customWidth="1"/>
    <col min="2819" max="2819" width="17.109375" bestFit="1" customWidth="1"/>
    <col min="2820" max="2820" width="17.5546875" customWidth="1"/>
    <col min="2821" max="2821" width="17.88671875" customWidth="1"/>
    <col min="2822" max="2822" width="22.5546875" customWidth="1"/>
    <col min="2823" max="2823" width="11.5546875" customWidth="1"/>
    <col min="2824" max="2824" width="12.33203125" customWidth="1"/>
    <col min="2825" max="2825" width="12.109375" customWidth="1"/>
    <col min="2826" max="2830" width="11.5546875" customWidth="1"/>
    <col min="2831" max="2831" width="15.109375" customWidth="1"/>
    <col min="2832" max="2832" width="4.33203125" customWidth="1"/>
    <col min="3073" max="3073" width="3.6640625" customWidth="1"/>
    <col min="3074" max="3074" width="44.109375" customWidth="1"/>
    <col min="3075" max="3075" width="17.109375" bestFit="1" customWidth="1"/>
    <col min="3076" max="3076" width="17.5546875" customWidth="1"/>
    <col min="3077" max="3077" width="17.88671875" customWidth="1"/>
    <col min="3078" max="3078" width="22.5546875" customWidth="1"/>
    <col min="3079" max="3079" width="11.5546875" customWidth="1"/>
    <col min="3080" max="3080" width="12.33203125" customWidth="1"/>
    <col min="3081" max="3081" width="12.109375" customWidth="1"/>
    <col min="3082" max="3086" width="11.5546875" customWidth="1"/>
    <col min="3087" max="3087" width="15.109375" customWidth="1"/>
    <col min="3088" max="3088" width="4.33203125" customWidth="1"/>
    <col min="3329" max="3329" width="3.6640625" customWidth="1"/>
    <col min="3330" max="3330" width="44.109375" customWidth="1"/>
    <col min="3331" max="3331" width="17.109375" bestFit="1" customWidth="1"/>
    <col min="3332" max="3332" width="17.5546875" customWidth="1"/>
    <col min="3333" max="3333" width="17.88671875" customWidth="1"/>
    <col min="3334" max="3334" width="22.5546875" customWidth="1"/>
    <col min="3335" max="3335" width="11.5546875" customWidth="1"/>
    <col min="3336" max="3336" width="12.33203125" customWidth="1"/>
    <col min="3337" max="3337" width="12.109375" customWidth="1"/>
    <col min="3338" max="3342" width="11.5546875" customWidth="1"/>
    <col min="3343" max="3343" width="15.109375" customWidth="1"/>
    <col min="3344" max="3344" width="4.33203125" customWidth="1"/>
    <col min="3585" max="3585" width="3.6640625" customWidth="1"/>
    <col min="3586" max="3586" width="44.109375" customWidth="1"/>
    <col min="3587" max="3587" width="17.109375" bestFit="1" customWidth="1"/>
    <col min="3588" max="3588" width="17.5546875" customWidth="1"/>
    <col min="3589" max="3589" width="17.88671875" customWidth="1"/>
    <col min="3590" max="3590" width="22.5546875" customWidth="1"/>
    <col min="3591" max="3591" width="11.5546875" customWidth="1"/>
    <col min="3592" max="3592" width="12.33203125" customWidth="1"/>
    <col min="3593" max="3593" width="12.109375" customWidth="1"/>
    <col min="3594" max="3598" width="11.5546875" customWidth="1"/>
    <col min="3599" max="3599" width="15.109375" customWidth="1"/>
    <col min="3600" max="3600" width="4.33203125" customWidth="1"/>
    <col min="3841" max="3841" width="3.6640625" customWidth="1"/>
    <col min="3842" max="3842" width="44.109375" customWidth="1"/>
    <col min="3843" max="3843" width="17.109375" bestFit="1" customWidth="1"/>
    <col min="3844" max="3844" width="17.5546875" customWidth="1"/>
    <col min="3845" max="3845" width="17.88671875" customWidth="1"/>
    <col min="3846" max="3846" width="22.5546875" customWidth="1"/>
    <col min="3847" max="3847" width="11.5546875" customWidth="1"/>
    <col min="3848" max="3848" width="12.33203125" customWidth="1"/>
    <col min="3849" max="3849" width="12.109375" customWidth="1"/>
    <col min="3850" max="3854" width="11.5546875" customWidth="1"/>
    <col min="3855" max="3855" width="15.109375" customWidth="1"/>
    <col min="3856" max="3856" width="4.33203125" customWidth="1"/>
    <col min="4097" max="4097" width="3.6640625" customWidth="1"/>
    <col min="4098" max="4098" width="44.109375" customWidth="1"/>
    <col min="4099" max="4099" width="17.109375" bestFit="1" customWidth="1"/>
    <col min="4100" max="4100" width="17.5546875" customWidth="1"/>
    <col min="4101" max="4101" width="17.88671875" customWidth="1"/>
    <col min="4102" max="4102" width="22.5546875" customWidth="1"/>
    <col min="4103" max="4103" width="11.5546875" customWidth="1"/>
    <col min="4104" max="4104" width="12.33203125" customWidth="1"/>
    <col min="4105" max="4105" width="12.109375" customWidth="1"/>
    <col min="4106" max="4110" width="11.5546875" customWidth="1"/>
    <col min="4111" max="4111" width="15.109375" customWidth="1"/>
    <col min="4112" max="4112" width="4.33203125" customWidth="1"/>
    <col min="4353" max="4353" width="3.6640625" customWidth="1"/>
    <col min="4354" max="4354" width="44.109375" customWidth="1"/>
    <col min="4355" max="4355" width="17.109375" bestFit="1" customWidth="1"/>
    <col min="4356" max="4356" width="17.5546875" customWidth="1"/>
    <col min="4357" max="4357" width="17.88671875" customWidth="1"/>
    <col min="4358" max="4358" width="22.5546875" customWidth="1"/>
    <col min="4359" max="4359" width="11.5546875" customWidth="1"/>
    <col min="4360" max="4360" width="12.33203125" customWidth="1"/>
    <col min="4361" max="4361" width="12.109375" customWidth="1"/>
    <col min="4362" max="4366" width="11.5546875" customWidth="1"/>
    <col min="4367" max="4367" width="15.109375" customWidth="1"/>
    <col min="4368" max="4368" width="4.33203125" customWidth="1"/>
    <col min="4609" max="4609" width="3.6640625" customWidth="1"/>
    <col min="4610" max="4610" width="44.109375" customWidth="1"/>
    <col min="4611" max="4611" width="17.109375" bestFit="1" customWidth="1"/>
    <col min="4612" max="4612" width="17.5546875" customWidth="1"/>
    <col min="4613" max="4613" width="17.88671875" customWidth="1"/>
    <col min="4614" max="4614" width="22.5546875" customWidth="1"/>
    <col min="4615" max="4615" width="11.5546875" customWidth="1"/>
    <col min="4616" max="4616" width="12.33203125" customWidth="1"/>
    <col min="4617" max="4617" width="12.109375" customWidth="1"/>
    <col min="4618" max="4622" width="11.5546875" customWidth="1"/>
    <col min="4623" max="4623" width="15.109375" customWidth="1"/>
    <col min="4624" max="4624" width="4.33203125" customWidth="1"/>
    <col min="4865" max="4865" width="3.6640625" customWidth="1"/>
    <col min="4866" max="4866" width="44.109375" customWidth="1"/>
    <col min="4867" max="4867" width="17.109375" bestFit="1" customWidth="1"/>
    <col min="4868" max="4868" width="17.5546875" customWidth="1"/>
    <col min="4869" max="4869" width="17.88671875" customWidth="1"/>
    <col min="4870" max="4870" width="22.5546875" customWidth="1"/>
    <col min="4871" max="4871" width="11.5546875" customWidth="1"/>
    <col min="4872" max="4872" width="12.33203125" customWidth="1"/>
    <col min="4873" max="4873" width="12.109375" customWidth="1"/>
    <col min="4874" max="4878" width="11.5546875" customWidth="1"/>
    <col min="4879" max="4879" width="15.109375" customWidth="1"/>
    <col min="4880" max="4880" width="4.33203125" customWidth="1"/>
    <col min="5121" max="5121" width="3.6640625" customWidth="1"/>
    <col min="5122" max="5122" width="44.109375" customWidth="1"/>
    <col min="5123" max="5123" width="17.109375" bestFit="1" customWidth="1"/>
    <col min="5124" max="5124" width="17.5546875" customWidth="1"/>
    <col min="5125" max="5125" width="17.88671875" customWidth="1"/>
    <col min="5126" max="5126" width="22.5546875" customWidth="1"/>
    <col min="5127" max="5127" width="11.5546875" customWidth="1"/>
    <col min="5128" max="5128" width="12.33203125" customWidth="1"/>
    <col min="5129" max="5129" width="12.109375" customWidth="1"/>
    <col min="5130" max="5134" width="11.5546875" customWidth="1"/>
    <col min="5135" max="5135" width="15.109375" customWidth="1"/>
    <col min="5136" max="5136" width="4.33203125" customWidth="1"/>
    <col min="5377" max="5377" width="3.6640625" customWidth="1"/>
    <col min="5378" max="5378" width="44.109375" customWidth="1"/>
    <col min="5379" max="5379" width="17.109375" bestFit="1" customWidth="1"/>
    <col min="5380" max="5380" width="17.5546875" customWidth="1"/>
    <col min="5381" max="5381" width="17.88671875" customWidth="1"/>
    <col min="5382" max="5382" width="22.5546875" customWidth="1"/>
    <col min="5383" max="5383" width="11.5546875" customWidth="1"/>
    <col min="5384" max="5384" width="12.33203125" customWidth="1"/>
    <col min="5385" max="5385" width="12.109375" customWidth="1"/>
    <col min="5386" max="5390" width="11.5546875" customWidth="1"/>
    <col min="5391" max="5391" width="15.109375" customWidth="1"/>
    <col min="5392" max="5392" width="4.33203125" customWidth="1"/>
    <col min="5633" max="5633" width="3.6640625" customWidth="1"/>
    <col min="5634" max="5634" width="44.109375" customWidth="1"/>
    <col min="5635" max="5635" width="17.109375" bestFit="1" customWidth="1"/>
    <col min="5636" max="5636" width="17.5546875" customWidth="1"/>
    <col min="5637" max="5637" width="17.88671875" customWidth="1"/>
    <col min="5638" max="5638" width="22.5546875" customWidth="1"/>
    <col min="5639" max="5639" width="11.5546875" customWidth="1"/>
    <col min="5640" max="5640" width="12.33203125" customWidth="1"/>
    <col min="5641" max="5641" width="12.109375" customWidth="1"/>
    <col min="5642" max="5646" width="11.5546875" customWidth="1"/>
    <col min="5647" max="5647" width="15.109375" customWidth="1"/>
    <col min="5648" max="5648" width="4.33203125" customWidth="1"/>
    <col min="5889" max="5889" width="3.6640625" customWidth="1"/>
    <col min="5890" max="5890" width="44.109375" customWidth="1"/>
    <col min="5891" max="5891" width="17.109375" bestFit="1" customWidth="1"/>
    <col min="5892" max="5892" width="17.5546875" customWidth="1"/>
    <col min="5893" max="5893" width="17.88671875" customWidth="1"/>
    <col min="5894" max="5894" width="22.5546875" customWidth="1"/>
    <col min="5895" max="5895" width="11.5546875" customWidth="1"/>
    <col min="5896" max="5896" width="12.33203125" customWidth="1"/>
    <col min="5897" max="5897" width="12.109375" customWidth="1"/>
    <col min="5898" max="5902" width="11.5546875" customWidth="1"/>
    <col min="5903" max="5903" width="15.109375" customWidth="1"/>
    <col min="5904" max="5904" width="4.33203125" customWidth="1"/>
    <col min="6145" max="6145" width="3.6640625" customWidth="1"/>
    <col min="6146" max="6146" width="44.109375" customWidth="1"/>
    <col min="6147" max="6147" width="17.109375" bestFit="1" customWidth="1"/>
    <col min="6148" max="6148" width="17.5546875" customWidth="1"/>
    <col min="6149" max="6149" width="17.88671875" customWidth="1"/>
    <col min="6150" max="6150" width="22.5546875" customWidth="1"/>
    <col min="6151" max="6151" width="11.5546875" customWidth="1"/>
    <col min="6152" max="6152" width="12.33203125" customWidth="1"/>
    <col min="6153" max="6153" width="12.109375" customWidth="1"/>
    <col min="6154" max="6158" width="11.5546875" customWidth="1"/>
    <col min="6159" max="6159" width="15.109375" customWidth="1"/>
    <col min="6160" max="6160" width="4.33203125" customWidth="1"/>
    <col min="6401" max="6401" width="3.6640625" customWidth="1"/>
    <col min="6402" max="6402" width="44.109375" customWidth="1"/>
    <col min="6403" max="6403" width="17.109375" bestFit="1" customWidth="1"/>
    <col min="6404" max="6404" width="17.5546875" customWidth="1"/>
    <col min="6405" max="6405" width="17.88671875" customWidth="1"/>
    <col min="6406" max="6406" width="22.5546875" customWidth="1"/>
    <col min="6407" max="6407" width="11.5546875" customWidth="1"/>
    <col min="6408" max="6408" width="12.33203125" customWidth="1"/>
    <col min="6409" max="6409" width="12.109375" customWidth="1"/>
    <col min="6410" max="6414" width="11.5546875" customWidth="1"/>
    <col min="6415" max="6415" width="15.109375" customWidth="1"/>
    <col min="6416" max="6416" width="4.33203125" customWidth="1"/>
    <col min="6657" max="6657" width="3.6640625" customWidth="1"/>
    <col min="6658" max="6658" width="44.109375" customWidth="1"/>
    <col min="6659" max="6659" width="17.109375" bestFit="1" customWidth="1"/>
    <col min="6660" max="6660" width="17.5546875" customWidth="1"/>
    <col min="6661" max="6661" width="17.88671875" customWidth="1"/>
    <col min="6662" max="6662" width="22.5546875" customWidth="1"/>
    <col min="6663" max="6663" width="11.5546875" customWidth="1"/>
    <col min="6664" max="6664" width="12.33203125" customWidth="1"/>
    <col min="6665" max="6665" width="12.109375" customWidth="1"/>
    <col min="6666" max="6670" width="11.5546875" customWidth="1"/>
    <col min="6671" max="6671" width="15.109375" customWidth="1"/>
    <col min="6672" max="6672" width="4.33203125" customWidth="1"/>
    <col min="6913" max="6913" width="3.6640625" customWidth="1"/>
    <col min="6914" max="6914" width="44.109375" customWidth="1"/>
    <col min="6915" max="6915" width="17.109375" bestFit="1" customWidth="1"/>
    <col min="6916" max="6916" width="17.5546875" customWidth="1"/>
    <col min="6917" max="6917" width="17.88671875" customWidth="1"/>
    <col min="6918" max="6918" width="22.5546875" customWidth="1"/>
    <col min="6919" max="6919" width="11.5546875" customWidth="1"/>
    <col min="6920" max="6920" width="12.33203125" customWidth="1"/>
    <col min="6921" max="6921" width="12.109375" customWidth="1"/>
    <col min="6922" max="6926" width="11.5546875" customWidth="1"/>
    <col min="6927" max="6927" width="15.109375" customWidth="1"/>
    <col min="6928" max="6928" width="4.33203125" customWidth="1"/>
    <col min="7169" max="7169" width="3.6640625" customWidth="1"/>
    <col min="7170" max="7170" width="44.109375" customWidth="1"/>
    <col min="7171" max="7171" width="17.109375" bestFit="1" customWidth="1"/>
    <col min="7172" max="7172" width="17.5546875" customWidth="1"/>
    <col min="7173" max="7173" width="17.88671875" customWidth="1"/>
    <col min="7174" max="7174" width="22.5546875" customWidth="1"/>
    <col min="7175" max="7175" width="11.5546875" customWidth="1"/>
    <col min="7176" max="7176" width="12.33203125" customWidth="1"/>
    <col min="7177" max="7177" width="12.109375" customWidth="1"/>
    <col min="7178" max="7182" width="11.5546875" customWidth="1"/>
    <col min="7183" max="7183" width="15.109375" customWidth="1"/>
    <col min="7184" max="7184" width="4.33203125" customWidth="1"/>
    <col min="7425" max="7425" width="3.6640625" customWidth="1"/>
    <col min="7426" max="7426" width="44.109375" customWidth="1"/>
    <col min="7427" max="7427" width="17.109375" bestFit="1" customWidth="1"/>
    <col min="7428" max="7428" width="17.5546875" customWidth="1"/>
    <col min="7429" max="7429" width="17.88671875" customWidth="1"/>
    <col min="7430" max="7430" width="22.5546875" customWidth="1"/>
    <col min="7431" max="7431" width="11.5546875" customWidth="1"/>
    <col min="7432" max="7432" width="12.33203125" customWidth="1"/>
    <col min="7433" max="7433" width="12.109375" customWidth="1"/>
    <col min="7434" max="7438" width="11.5546875" customWidth="1"/>
    <col min="7439" max="7439" width="15.109375" customWidth="1"/>
    <col min="7440" max="7440" width="4.33203125" customWidth="1"/>
    <col min="7681" max="7681" width="3.6640625" customWidth="1"/>
    <col min="7682" max="7682" width="44.109375" customWidth="1"/>
    <col min="7683" max="7683" width="17.109375" bestFit="1" customWidth="1"/>
    <col min="7684" max="7684" width="17.5546875" customWidth="1"/>
    <col min="7685" max="7685" width="17.88671875" customWidth="1"/>
    <col min="7686" max="7686" width="22.5546875" customWidth="1"/>
    <col min="7687" max="7687" width="11.5546875" customWidth="1"/>
    <col min="7688" max="7688" width="12.33203125" customWidth="1"/>
    <col min="7689" max="7689" width="12.109375" customWidth="1"/>
    <col min="7690" max="7694" width="11.5546875" customWidth="1"/>
    <col min="7695" max="7695" width="15.109375" customWidth="1"/>
    <col min="7696" max="7696" width="4.33203125" customWidth="1"/>
    <col min="7937" max="7937" width="3.6640625" customWidth="1"/>
    <col min="7938" max="7938" width="44.109375" customWidth="1"/>
    <col min="7939" max="7939" width="17.109375" bestFit="1" customWidth="1"/>
    <col min="7940" max="7940" width="17.5546875" customWidth="1"/>
    <col min="7941" max="7941" width="17.88671875" customWidth="1"/>
    <col min="7942" max="7942" width="22.5546875" customWidth="1"/>
    <col min="7943" max="7943" width="11.5546875" customWidth="1"/>
    <col min="7944" max="7944" width="12.33203125" customWidth="1"/>
    <col min="7945" max="7945" width="12.109375" customWidth="1"/>
    <col min="7946" max="7950" width="11.5546875" customWidth="1"/>
    <col min="7951" max="7951" width="15.109375" customWidth="1"/>
    <col min="7952" max="7952" width="4.33203125" customWidth="1"/>
    <col min="8193" max="8193" width="3.6640625" customWidth="1"/>
    <col min="8194" max="8194" width="44.109375" customWidth="1"/>
    <col min="8195" max="8195" width="17.109375" bestFit="1" customWidth="1"/>
    <col min="8196" max="8196" width="17.5546875" customWidth="1"/>
    <col min="8197" max="8197" width="17.88671875" customWidth="1"/>
    <col min="8198" max="8198" width="22.5546875" customWidth="1"/>
    <col min="8199" max="8199" width="11.5546875" customWidth="1"/>
    <col min="8200" max="8200" width="12.33203125" customWidth="1"/>
    <col min="8201" max="8201" width="12.109375" customWidth="1"/>
    <col min="8202" max="8206" width="11.5546875" customWidth="1"/>
    <col min="8207" max="8207" width="15.109375" customWidth="1"/>
    <col min="8208" max="8208" width="4.33203125" customWidth="1"/>
    <col min="8449" max="8449" width="3.6640625" customWidth="1"/>
    <col min="8450" max="8450" width="44.109375" customWidth="1"/>
    <col min="8451" max="8451" width="17.109375" bestFit="1" customWidth="1"/>
    <col min="8452" max="8452" width="17.5546875" customWidth="1"/>
    <col min="8453" max="8453" width="17.88671875" customWidth="1"/>
    <col min="8454" max="8454" width="22.5546875" customWidth="1"/>
    <col min="8455" max="8455" width="11.5546875" customWidth="1"/>
    <col min="8456" max="8456" width="12.33203125" customWidth="1"/>
    <col min="8457" max="8457" width="12.109375" customWidth="1"/>
    <col min="8458" max="8462" width="11.5546875" customWidth="1"/>
    <col min="8463" max="8463" width="15.109375" customWidth="1"/>
    <col min="8464" max="8464" width="4.33203125" customWidth="1"/>
    <col min="8705" max="8705" width="3.6640625" customWidth="1"/>
    <col min="8706" max="8706" width="44.109375" customWidth="1"/>
    <col min="8707" max="8707" width="17.109375" bestFit="1" customWidth="1"/>
    <col min="8708" max="8708" width="17.5546875" customWidth="1"/>
    <col min="8709" max="8709" width="17.88671875" customWidth="1"/>
    <col min="8710" max="8710" width="22.5546875" customWidth="1"/>
    <col min="8711" max="8711" width="11.5546875" customWidth="1"/>
    <col min="8712" max="8712" width="12.33203125" customWidth="1"/>
    <col min="8713" max="8713" width="12.109375" customWidth="1"/>
    <col min="8714" max="8718" width="11.5546875" customWidth="1"/>
    <col min="8719" max="8719" width="15.109375" customWidth="1"/>
    <col min="8720" max="8720" width="4.33203125" customWidth="1"/>
    <col min="8961" max="8961" width="3.6640625" customWidth="1"/>
    <col min="8962" max="8962" width="44.109375" customWidth="1"/>
    <col min="8963" max="8963" width="17.109375" bestFit="1" customWidth="1"/>
    <col min="8964" max="8964" width="17.5546875" customWidth="1"/>
    <col min="8965" max="8965" width="17.88671875" customWidth="1"/>
    <col min="8966" max="8966" width="22.5546875" customWidth="1"/>
    <col min="8967" max="8967" width="11.5546875" customWidth="1"/>
    <col min="8968" max="8968" width="12.33203125" customWidth="1"/>
    <col min="8969" max="8969" width="12.109375" customWidth="1"/>
    <col min="8970" max="8974" width="11.5546875" customWidth="1"/>
    <col min="8975" max="8975" width="15.109375" customWidth="1"/>
    <col min="8976" max="8976" width="4.33203125" customWidth="1"/>
    <col min="9217" max="9217" width="3.6640625" customWidth="1"/>
    <col min="9218" max="9218" width="44.109375" customWidth="1"/>
    <col min="9219" max="9219" width="17.109375" bestFit="1" customWidth="1"/>
    <col min="9220" max="9220" width="17.5546875" customWidth="1"/>
    <col min="9221" max="9221" width="17.88671875" customWidth="1"/>
    <col min="9222" max="9222" width="22.5546875" customWidth="1"/>
    <col min="9223" max="9223" width="11.5546875" customWidth="1"/>
    <col min="9224" max="9224" width="12.33203125" customWidth="1"/>
    <col min="9225" max="9225" width="12.109375" customWidth="1"/>
    <col min="9226" max="9230" width="11.5546875" customWidth="1"/>
    <col min="9231" max="9231" width="15.109375" customWidth="1"/>
    <col min="9232" max="9232" width="4.33203125" customWidth="1"/>
    <col min="9473" max="9473" width="3.6640625" customWidth="1"/>
    <col min="9474" max="9474" width="44.109375" customWidth="1"/>
    <col min="9475" max="9475" width="17.109375" bestFit="1" customWidth="1"/>
    <col min="9476" max="9476" width="17.5546875" customWidth="1"/>
    <col min="9477" max="9477" width="17.88671875" customWidth="1"/>
    <col min="9478" max="9478" width="22.5546875" customWidth="1"/>
    <col min="9479" max="9479" width="11.5546875" customWidth="1"/>
    <col min="9480" max="9480" width="12.33203125" customWidth="1"/>
    <col min="9481" max="9481" width="12.109375" customWidth="1"/>
    <col min="9482" max="9486" width="11.5546875" customWidth="1"/>
    <col min="9487" max="9487" width="15.109375" customWidth="1"/>
    <col min="9488" max="9488" width="4.33203125" customWidth="1"/>
    <col min="9729" max="9729" width="3.6640625" customWidth="1"/>
    <col min="9730" max="9730" width="44.109375" customWidth="1"/>
    <col min="9731" max="9731" width="17.109375" bestFit="1" customWidth="1"/>
    <col min="9732" max="9732" width="17.5546875" customWidth="1"/>
    <col min="9733" max="9733" width="17.88671875" customWidth="1"/>
    <col min="9734" max="9734" width="22.5546875" customWidth="1"/>
    <col min="9735" max="9735" width="11.5546875" customWidth="1"/>
    <col min="9736" max="9736" width="12.33203125" customWidth="1"/>
    <col min="9737" max="9737" width="12.109375" customWidth="1"/>
    <col min="9738" max="9742" width="11.5546875" customWidth="1"/>
    <col min="9743" max="9743" width="15.109375" customWidth="1"/>
    <col min="9744" max="9744" width="4.33203125" customWidth="1"/>
    <col min="9985" max="9985" width="3.6640625" customWidth="1"/>
    <col min="9986" max="9986" width="44.109375" customWidth="1"/>
    <col min="9987" max="9987" width="17.109375" bestFit="1" customWidth="1"/>
    <col min="9988" max="9988" width="17.5546875" customWidth="1"/>
    <col min="9989" max="9989" width="17.88671875" customWidth="1"/>
    <col min="9990" max="9990" width="22.5546875" customWidth="1"/>
    <col min="9991" max="9991" width="11.5546875" customWidth="1"/>
    <col min="9992" max="9992" width="12.33203125" customWidth="1"/>
    <col min="9993" max="9993" width="12.109375" customWidth="1"/>
    <col min="9994" max="9998" width="11.5546875" customWidth="1"/>
    <col min="9999" max="9999" width="15.109375" customWidth="1"/>
    <col min="10000" max="10000" width="4.33203125" customWidth="1"/>
    <col min="10241" max="10241" width="3.6640625" customWidth="1"/>
    <col min="10242" max="10242" width="44.109375" customWidth="1"/>
    <col min="10243" max="10243" width="17.109375" bestFit="1" customWidth="1"/>
    <col min="10244" max="10244" width="17.5546875" customWidth="1"/>
    <col min="10245" max="10245" width="17.88671875" customWidth="1"/>
    <col min="10246" max="10246" width="22.5546875" customWidth="1"/>
    <col min="10247" max="10247" width="11.5546875" customWidth="1"/>
    <col min="10248" max="10248" width="12.33203125" customWidth="1"/>
    <col min="10249" max="10249" width="12.109375" customWidth="1"/>
    <col min="10250" max="10254" width="11.5546875" customWidth="1"/>
    <col min="10255" max="10255" width="15.109375" customWidth="1"/>
    <col min="10256" max="10256" width="4.33203125" customWidth="1"/>
    <col min="10497" max="10497" width="3.6640625" customWidth="1"/>
    <col min="10498" max="10498" width="44.109375" customWidth="1"/>
    <col min="10499" max="10499" width="17.109375" bestFit="1" customWidth="1"/>
    <col min="10500" max="10500" width="17.5546875" customWidth="1"/>
    <col min="10501" max="10501" width="17.88671875" customWidth="1"/>
    <col min="10502" max="10502" width="22.5546875" customWidth="1"/>
    <col min="10503" max="10503" width="11.5546875" customWidth="1"/>
    <col min="10504" max="10504" width="12.33203125" customWidth="1"/>
    <col min="10505" max="10505" width="12.109375" customWidth="1"/>
    <col min="10506" max="10510" width="11.5546875" customWidth="1"/>
    <col min="10511" max="10511" width="15.109375" customWidth="1"/>
    <col min="10512" max="10512" width="4.33203125" customWidth="1"/>
    <col min="10753" max="10753" width="3.6640625" customWidth="1"/>
    <col min="10754" max="10754" width="44.109375" customWidth="1"/>
    <col min="10755" max="10755" width="17.109375" bestFit="1" customWidth="1"/>
    <col min="10756" max="10756" width="17.5546875" customWidth="1"/>
    <col min="10757" max="10757" width="17.88671875" customWidth="1"/>
    <col min="10758" max="10758" width="22.5546875" customWidth="1"/>
    <col min="10759" max="10759" width="11.5546875" customWidth="1"/>
    <col min="10760" max="10760" width="12.33203125" customWidth="1"/>
    <col min="10761" max="10761" width="12.109375" customWidth="1"/>
    <col min="10762" max="10766" width="11.5546875" customWidth="1"/>
    <col min="10767" max="10767" width="15.109375" customWidth="1"/>
    <col min="10768" max="10768" width="4.33203125" customWidth="1"/>
    <col min="11009" max="11009" width="3.6640625" customWidth="1"/>
    <col min="11010" max="11010" width="44.109375" customWidth="1"/>
    <col min="11011" max="11011" width="17.109375" bestFit="1" customWidth="1"/>
    <col min="11012" max="11012" width="17.5546875" customWidth="1"/>
    <col min="11013" max="11013" width="17.88671875" customWidth="1"/>
    <col min="11014" max="11014" width="22.5546875" customWidth="1"/>
    <col min="11015" max="11015" width="11.5546875" customWidth="1"/>
    <col min="11016" max="11016" width="12.33203125" customWidth="1"/>
    <col min="11017" max="11017" width="12.109375" customWidth="1"/>
    <col min="11018" max="11022" width="11.5546875" customWidth="1"/>
    <col min="11023" max="11023" width="15.109375" customWidth="1"/>
    <col min="11024" max="11024" width="4.33203125" customWidth="1"/>
    <col min="11265" max="11265" width="3.6640625" customWidth="1"/>
    <col min="11266" max="11266" width="44.109375" customWidth="1"/>
    <col min="11267" max="11267" width="17.109375" bestFit="1" customWidth="1"/>
    <col min="11268" max="11268" width="17.5546875" customWidth="1"/>
    <col min="11269" max="11269" width="17.88671875" customWidth="1"/>
    <col min="11270" max="11270" width="22.5546875" customWidth="1"/>
    <col min="11271" max="11271" width="11.5546875" customWidth="1"/>
    <col min="11272" max="11272" width="12.33203125" customWidth="1"/>
    <col min="11273" max="11273" width="12.109375" customWidth="1"/>
    <col min="11274" max="11278" width="11.5546875" customWidth="1"/>
    <col min="11279" max="11279" width="15.109375" customWidth="1"/>
    <col min="11280" max="11280" width="4.33203125" customWidth="1"/>
    <col min="11521" max="11521" width="3.6640625" customWidth="1"/>
    <col min="11522" max="11522" width="44.109375" customWidth="1"/>
    <col min="11523" max="11523" width="17.109375" bestFit="1" customWidth="1"/>
    <col min="11524" max="11524" width="17.5546875" customWidth="1"/>
    <col min="11525" max="11525" width="17.88671875" customWidth="1"/>
    <col min="11526" max="11526" width="22.5546875" customWidth="1"/>
    <col min="11527" max="11527" width="11.5546875" customWidth="1"/>
    <col min="11528" max="11528" width="12.33203125" customWidth="1"/>
    <col min="11529" max="11529" width="12.109375" customWidth="1"/>
    <col min="11530" max="11534" width="11.5546875" customWidth="1"/>
    <col min="11535" max="11535" width="15.109375" customWidth="1"/>
    <col min="11536" max="11536" width="4.33203125" customWidth="1"/>
    <col min="11777" max="11777" width="3.6640625" customWidth="1"/>
    <col min="11778" max="11778" width="44.109375" customWidth="1"/>
    <col min="11779" max="11779" width="17.109375" bestFit="1" customWidth="1"/>
    <col min="11780" max="11780" width="17.5546875" customWidth="1"/>
    <col min="11781" max="11781" width="17.88671875" customWidth="1"/>
    <col min="11782" max="11782" width="22.5546875" customWidth="1"/>
    <col min="11783" max="11783" width="11.5546875" customWidth="1"/>
    <col min="11784" max="11784" width="12.33203125" customWidth="1"/>
    <col min="11785" max="11785" width="12.109375" customWidth="1"/>
    <col min="11786" max="11790" width="11.5546875" customWidth="1"/>
    <col min="11791" max="11791" width="15.109375" customWidth="1"/>
    <col min="11792" max="11792" width="4.33203125" customWidth="1"/>
    <col min="12033" max="12033" width="3.6640625" customWidth="1"/>
    <col min="12034" max="12034" width="44.109375" customWidth="1"/>
    <col min="12035" max="12035" width="17.109375" bestFit="1" customWidth="1"/>
    <col min="12036" max="12036" width="17.5546875" customWidth="1"/>
    <col min="12037" max="12037" width="17.88671875" customWidth="1"/>
    <col min="12038" max="12038" width="22.5546875" customWidth="1"/>
    <col min="12039" max="12039" width="11.5546875" customWidth="1"/>
    <col min="12040" max="12040" width="12.33203125" customWidth="1"/>
    <col min="12041" max="12041" width="12.109375" customWidth="1"/>
    <col min="12042" max="12046" width="11.5546875" customWidth="1"/>
    <col min="12047" max="12047" width="15.109375" customWidth="1"/>
    <col min="12048" max="12048" width="4.33203125" customWidth="1"/>
    <col min="12289" max="12289" width="3.6640625" customWidth="1"/>
    <col min="12290" max="12290" width="44.109375" customWidth="1"/>
    <col min="12291" max="12291" width="17.109375" bestFit="1" customWidth="1"/>
    <col min="12292" max="12292" width="17.5546875" customWidth="1"/>
    <col min="12293" max="12293" width="17.88671875" customWidth="1"/>
    <col min="12294" max="12294" width="22.5546875" customWidth="1"/>
    <col min="12295" max="12295" width="11.5546875" customWidth="1"/>
    <col min="12296" max="12296" width="12.33203125" customWidth="1"/>
    <col min="12297" max="12297" width="12.109375" customWidth="1"/>
    <col min="12298" max="12302" width="11.5546875" customWidth="1"/>
    <col min="12303" max="12303" width="15.109375" customWidth="1"/>
    <col min="12304" max="12304" width="4.33203125" customWidth="1"/>
    <col min="12545" max="12545" width="3.6640625" customWidth="1"/>
    <col min="12546" max="12546" width="44.109375" customWidth="1"/>
    <col min="12547" max="12547" width="17.109375" bestFit="1" customWidth="1"/>
    <col min="12548" max="12548" width="17.5546875" customWidth="1"/>
    <col min="12549" max="12549" width="17.88671875" customWidth="1"/>
    <col min="12550" max="12550" width="22.5546875" customWidth="1"/>
    <col min="12551" max="12551" width="11.5546875" customWidth="1"/>
    <col min="12552" max="12552" width="12.33203125" customWidth="1"/>
    <col min="12553" max="12553" width="12.109375" customWidth="1"/>
    <col min="12554" max="12558" width="11.5546875" customWidth="1"/>
    <col min="12559" max="12559" width="15.109375" customWidth="1"/>
    <col min="12560" max="12560" width="4.33203125" customWidth="1"/>
    <col min="12801" max="12801" width="3.6640625" customWidth="1"/>
    <col min="12802" max="12802" width="44.109375" customWidth="1"/>
    <col min="12803" max="12803" width="17.109375" bestFit="1" customWidth="1"/>
    <col min="12804" max="12804" width="17.5546875" customWidth="1"/>
    <col min="12805" max="12805" width="17.88671875" customWidth="1"/>
    <col min="12806" max="12806" width="22.5546875" customWidth="1"/>
    <col min="12807" max="12807" width="11.5546875" customWidth="1"/>
    <col min="12808" max="12808" width="12.33203125" customWidth="1"/>
    <col min="12809" max="12809" width="12.109375" customWidth="1"/>
    <col min="12810" max="12814" width="11.5546875" customWidth="1"/>
    <col min="12815" max="12815" width="15.109375" customWidth="1"/>
    <col min="12816" max="12816" width="4.33203125" customWidth="1"/>
    <col min="13057" max="13057" width="3.6640625" customWidth="1"/>
    <col min="13058" max="13058" width="44.109375" customWidth="1"/>
    <col min="13059" max="13059" width="17.109375" bestFit="1" customWidth="1"/>
    <col min="13060" max="13060" width="17.5546875" customWidth="1"/>
    <col min="13061" max="13061" width="17.88671875" customWidth="1"/>
    <col min="13062" max="13062" width="22.5546875" customWidth="1"/>
    <col min="13063" max="13063" width="11.5546875" customWidth="1"/>
    <col min="13064" max="13064" width="12.33203125" customWidth="1"/>
    <col min="13065" max="13065" width="12.109375" customWidth="1"/>
    <col min="13066" max="13070" width="11.5546875" customWidth="1"/>
    <col min="13071" max="13071" width="15.109375" customWidth="1"/>
    <col min="13072" max="13072" width="4.33203125" customWidth="1"/>
    <col min="13313" max="13313" width="3.6640625" customWidth="1"/>
    <col min="13314" max="13314" width="44.109375" customWidth="1"/>
    <col min="13315" max="13315" width="17.109375" bestFit="1" customWidth="1"/>
    <col min="13316" max="13316" width="17.5546875" customWidth="1"/>
    <col min="13317" max="13317" width="17.88671875" customWidth="1"/>
    <col min="13318" max="13318" width="22.5546875" customWidth="1"/>
    <col min="13319" max="13319" width="11.5546875" customWidth="1"/>
    <col min="13320" max="13320" width="12.33203125" customWidth="1"/>
    <col min="13321" max="13321" width="12.109375" customWidth="1"/>
    <col min="13322" max="13326" width="11.5546875" customWidth="1"/>
    <col min="13327" max="13327" width="15.109375" customWidth="1"/>
    <col min="13328" max="13328" width="4.33203125" customWidth="1"/>
    <col min="13569" max="13569" width="3.6640625" customWidth="1"/>
    <col min="13570" max="13570" width="44.109375" customWidth="1"/>
    <col min="13571" max="13571" width="17.109375" bestFit="1" customWidth="1"/>
    <col min="13572" max="13572" width="17.5546875" customWidth="1"/>
    <col min="13573" max="13573" width="17.88671875" customWidth="1"/>
    <col min="13574" max="13574" width="22.5546875" customWidth="1"/>
    <col min="13575" max="13575" width="11.5546875" customWidth="1"/>
    <col min="13576" max="13576" width="12.33203125" customWidth="1"/>
    <col min="13577" max="13577" width="12.109375" customWidth="1"/>
    <col min="13578" max="13582" width="11.5546875" customWidth="1"/>
    <col min="13583" max="13583" width="15.109375" customWidth="1"/>
    <col min="13584" max="13584" width="4.33203125" customWidth="1"/>
    <col min="13825" max="13825" width="3.6640625" customWidth="1"/>
    <col min="13826" max="13826" width="44.109375" customWidth="1"/>
    <col min="13827" max="13827" width="17.109375" bestFit="1" customWidth="1"/>
    <col min="13828" max="13828" width="17.5546875" customWidth="1"/>
    <col min="13829" max="13829" width="17.88671875" customWidth="1"/>
    <col min="13830" max="13830" width="22.5546875" customWidth="1"/>
    <col min="13831" max="13831" width="11.5546875" customWidth="1"/>
    <col min="13832" max="13832" width="12.33203125" customWidth="1"/>
    <col min="13833" max="13833" width="12.109375" customWidth="1"/>
    <col min="13834" max="13838" width="11.5546875" customWidth="1"/>
    <col min="13839" max="13839" width="15.109375" customWidth="1"/>
    <col min="13840" max="13840" width="4.33203125" customWidth="1"/>
    <col min="14081" max="14081" width="3.6640625" customWidth="1"/>
    <col min="14082" max="14082" width="44.109375" customWidth="1"/>
    <col min="14083" max="14083" width="17.109375" bestFit="1" customWidth="1"/>
    <col min="14084" max="14084" width="17.5546875" customWidth="1"/>
    <col min="14085" max="14085" width="17.88671875" customWidth="1"/>
    <col min="14086" max="14086" width="22.5546875" customWidth="1"/>
    <col min="14087" max="14087" width="11.5546875" customWidth="1"/>
    <col min="14088" max="14088" width="12.33203125" customWidth="1"/>
    <col min="14089" max="14089" width="12.109375" customWidth="1"/>
    <col min="14090" max="14094" width="11.5546875" customWidth="1"/>
    <col min="14095" max="14095" width="15.109375" customWidth="1"/>
    <col min="14096" max="14096" width="4.33203125" customWidth="1"/>
    <col min="14337" max="14337" width="3.6640625" customWidth="1"/>
    <col min="14338" max="14338" width="44.109375" customWidth="1"/>
    <col min="14339" max="14339" width="17.109375" bestFit="1" customWidth="1"/>
    <col min="14340" max="14340" width="17.5546875" customWidth="1"/>
    <col min="14341" max="14341" width="17.88671875" customWidth="1"/>
    <col min="14342" max="14342" width="22.5546875" customWidth="1"/>
    <col min="14343" max="14343" width="11.5546875" customWidth="1"/>
    <col min="14344" max="14344" width="12.33203125" customWidth="1"/>
    <col min="14345" max="14345" width="12.109375" customWidth="1"/>
    <col min="14346" max="14350" width="11.5546875" customWidth="1"/>
    <col min="14351" max="14351" width="15.109375" customWidth="1"/>
    <col min="14352" max="14352" width="4.33203125" customWidth="1"/>
    <col min="14593" max="14593" width="3.6640625" customWidth="1"/>
    <col min="14594" max="14594" width="44.109375" customWidth="1"/>
    <col min="14595" max="14595" width="17.109375" bestFit="1" customWidth="1"/>
    <col min="14596" max="14596" width="17.5546875" customWidth="1"/>
    <col min="14597" max="14597" width="17.88671875" customWidth="1"/>
    <col min="14598" max="14598" width="22.5546875" customWidth="1"/>
    <col min="14599" max="14599" width="11.5546875" customWidth="1"/>
    <col min="14600" max="14600" width="12.33203125" customWidth="1"/>
    <col min="14601" max="14601" width="12.109375" customWidth="1"/>
    <col min="14602" max="14606" width="11.5546875" customWidth="1"/>
    <col min="14607" max="14607" width="15.109375" customWidth="1"/>
    <col min="14608" max="14608" width="4.33203125" customWidth="1"/>
    <col min="14849" max="14849" width="3.6640625" customWidth="1"/>
    <col min="14850" max="14850" width="44.109375" customWidth="1"/>
    <col min="14851" max="14851" width="17.109375" bestFit="1" customWidth="1"/>
    <col min="14852" max="14852" width="17.5546875" customWidth="1"/>
    <col min="14853" max="14853" width="17.88671875" customWidth="1"/>
    <col min="14854" max="14854" width="22.5546875" customWidth="1"/>
    <col min="14855" max="14855" width="11.5546875" customWidth="1"/>
    <col min="14856" max="14856" width="12.33203125" customWidth="1"/>
    <col min="14857" max="14857" width="12.109375" customWidth="1"/>
    <col min="14858" max="14862" width="11.5546875" customWidth="1"/>
    <col min="14863" max="14863" width="15.109375" customWidth="1"/>
    <col min="14864" max="14864" width="4.33203125" customWidth="1"/>
    <col min="15105" max="15105" width="3.6640625" customWidth="1"/>
    <col min="15106" max="15106" width="44.109375" customWidth="1"/>
    <col min="15107" max="15107" width="17.109375" bestFit="1" customWidth="1"/>
    <col min="15108" max="15108" width="17.5546875" customWidth="1"/>
    <col min="15109" max="15109" width="17.88671875" customWidth="1"/>
    <col min="15110" max="15110" width="22.5546875" customWidth="1"/>
    <col min="15111" max="15111" width="11.5546875" customWidth="1"/>
    <col min="15112" max="15112" width="12.33203125" customWidth="1"/>
    <col min="15113" max="15113" width="12.109375" customWidth="1"/>
    <col min="15114" max="15118" width="11.5546875" customWidth="1"/>
    <col min="15119" max="15119" width="15.109375" customWidth="1"/>
    <col min="15120" max="15120" width="4.33203125" customWidth="1"/>
    <col min="15361" max="15361" width="3.6640625" customWidth="1"/>
    <col min="15362" max="15362" width="44.109375" customWidth="1"/>
    <col min="15363" max="15363" width="17.109375" bestFit="1" customWidth="1"/>
    <col min="15364" max="15364" width="17.5546875" customWidth="1"/>
    <col min="15365" max="15365" width="17.88671875" customWidth="1"/>
    <col min="15366" max="15366" width="22.5546875" customWidth="1"/>
    <col min="15367" max="15367" width="11.5546875" customWidth="1"/>
    <col min="15368" max="15368" width="12.33203125" customWidth="1"/>
    <col min="15369" max="15369" width="12.109375" customWidth="1"/>
    <col min="15370" max="15374" width="11.5546875" customWidth="1"/>
    <col min="15375" max="15375" width="15.109375" customWidth="1"/>
    <col min="15376" max="15376" width="4.33203125" customWidth="1"/>
    <col min="15617" max="15617" width="3.6640625" customWidth="1"/>
    <col min="15618" max="15618" width="44.109375" customWidth="1"/>
    <col min="15619" max="15619" width="17.109375" bestFit="1" customWidth="1"/>
    <col min="15620" max="15620" width="17.5546875" customWidth="1"/>
    <col min="15621" max="15621" width="17.88671875" customWidth="1"/>
    <col min="15622" max="15622" width="22.5546875" customWidth="1"/>
    <col min="15623" max="15623" width="11.5546875" customWidth="1"/>
    <col min="15624" max="15624" width="12.33203125" customWidth="1"/>
    <col min="15625" max="15625" width="12.109375" customWidth="1"/>
    <col min="15626" max="15630" width="11.5546875" customWidth="1"/>
    <col min="15631" max="15631" width="15.109375" customWidth="1"/>
    <col min="15632" max="15632" width="4.33203125" customWidth="1"/>
    <col min="15873" max="15873" width="3.6640625" customWidth="1"/>
    <col min="15874" max="15874" width="44.109375" customWidth="1"/>
    <col min="15875" max="15875" width="17.109375" bestFit="1" customWidth="1"/>
    <col min="15876" max="15876" width="17.5546875" customWidth="1"/>
    <col min="15877" max="15877" width="17.88671875" customWidth="1"/>
    <col min="15878" max="15878" width="22.5546875" customWidth="1"/>
    <col min="15879" max="15879" width="11.5546875" customWidth="1"/>
    <col min="15880" max="15880" width="12.33203125" customWidth="1"/>
    <col min="15881" max="15881" width="12.109375" customWidth="1"/>
    <col min="15882" max="15886" width="11.5546875" customWidth="1"/>
    <col min="15887" max="15887" width="15.109375" customWidth="1"/>
    <col min="15888" max="15888" width="4.33203125" customWidth="1"/>
    <col min="16129" max="16129" width="3.6640625" customWidth="1"/>
    <col min="16130" max="16130" width="44.109375" customWidth="1"/>
    <col min="16131" max="16131" width="17.109375" bestFit="1" customWidth="1"/>
    <col min="16132" max="16132" width="17.5546875" customWidth="1"/>
    <col min="16133" max="16133" width="17.88671875" customWidth="1"/>
    <col min="16134" max="16134" width="22.5546875" customWidth="1"/>
    <col min="16135" max="16135" width="11.5546875" customWidth="1"/>
    <col min="16136" max="16136" width="12.33203125" customWidth="1"/>
    <col min="16137" max="16137" width="12.109375" customWidth="1"/>
    <col min="16138" max="16142" width="11.5546875" customWidth="1"/>
    <col min="16143" max="16143" width="15.109375" customWidth="1"/>
    <col min="16144" max="16144" width="4.33203125" customWidth="1"/>
  </cols>
  <sheetData>
    <row r="1" spans="1:17" ht="16.5" customHeight="1" x14ac:dyDescent="0.25">
      <c r="B1" s="2"/>
      <c r="C1" s="2"/>
      <c r="D1" s="2"/>
      <c r="E1" s="2"/>
      <c r="F1" s="2"/>
      <c r="H1" s="2"/>
      <c r="I1" s="2"/>
      <c r="L1" s="2"/>
      <c r="M1" s="2"/>
      <c r="N1" s="2"/>
      <c r="O1" s="2"/>
    </row>
    <row r="2" spans="1:17" ht="16.5" customHeight="1" x14ac:dyDescent="0.25">
      <c r="B2" s="2"/>
      <c r="C2" s="2"/>
      <c r="D2" s="2"/>
      <c r="E2" s="2"/>
      <c r="F2" s="2"/>
      <c r="H2" s="2"/>
      <c r="I2" s="2"/>
      <c r="L2" s="2"/>
      <c r="M2" s="2"/>
      <c r="N2" s="2"/>
      <c r="O2" s="2"/>
    </row>
    <row r="3" spans="1:17" ht="16.5" customHeight="1" x14ac:dyDescent="0.25">
      <c r="B3" s="2"/>
      <c r="C3" s="2"/>
      <c r="D3" s="2"/>
      <c r="E3" s="2"/>
      <c r="F3" s="2"/>
      <c r="H3" s="2"/>
      <c r="I3" s="2"/>
      <c r="L3" s="2"/>
      <c r="M3" s="2"/>
      <c r="N3" s="2"/>
      <c r="O3" s="2"/>
    </row>
    <row r="4" spans="1:17" ht="13.5" customHeight="1" x14ac:dyDescent="0.25">
      <c r="B4" s="2"/>
      <c r="C4" s="2"/>
      <c r="D4" s="2"/>
      <c r="E4" s="2"/>
      <c r="F4" s="2"/>
      <c r="H4" s="2"/>
      <c r="I4" s="2"/>
      <c r="L4" s="2"/>
      <c r="M4" s="2"/>
      <c r="N4" s="2"/>
      <c r="O4" s="2"/>
    </row>
    <row r="5" spans="1:17" ht="26.25" customHeight="1" x14ac:dyDescent="0.25">
      <c r="A5" s="141" t="s">
        <v>66</v>
      </c>
      <c r="B5" s="141"/>
      <c r="C5" s="141"/>
      <c r="D5" s="141"/>
      <c r="E5" s="141"/>
      <c r="F5" s="141"/>
      <c r="G5" s="141"/>
      <c r="H5" s="141"/>
      <c r="I5" s="141"/>
      <c r="J5" s="141"/>
      <c r="K5" s="141"/>
      <c r="L5" s="141"/>
      <c r="M5" s="141"/>
      <c r="N5" s="141"/>
      <c r="O5" s="141"/>
      <c r="P5" s="141"/>
    </row>
    <row r="6" spans="1:17" ht="21.75" customHeight="1" x14ac:dyDescent="0.25">
      <c r="A6" s="141" t="s">
        <v>105</v>
      </c>
      <c r="B6" s="141"/>
      <c r="C6" s="141"/>
      <c r="D6" s="141"/>
      <c r="E6" s="141"/>
      <c r="F6" s="141"/>
      <c r="G6" s="141"/>
      <c r="H6" s="141"/>
      <c r="I6" s="141"/>
      <c r="J6" s="141"/>
      <c r="K6" s="141"/>
      <c r="L6" s="141"/>
      <c r="M6" s="141"/>
      <c r="N6" s="141"/>
      <c r="O6" s="141"/>
      <c r="P6" s="141"/>
    </row>
    <row r="7" spans="1:17" ht="25.5" customHeight="1" x14ac:dyDescent="0.25">
      <c r="B7" s="2"/>
      <c r="C7" s="2"/>
      <c r="D7" s="2"/>
      <c r="E7" s="2"/>
      <c r="F7" s="2"/>
      <c r="H7" s="2"/>
      <c r="I7" s="2"/>
      <c r="L7" s="2"/>
      <c r="M7" s="2"/>
      <c r="N7" s="2"/>
      <c r="O7" s="2"/>
    </row>
    <row r="8" spans="1:17" ht="32.25" customHeight="1" x14ac:dyDescent="0.25">
      <c r="B8" s="3" t="s">
        <v>106</v>
      </c>
      <c r="C8" s="3"/>
      <c r="D8" s="4"/>
      <c r="E8" s="4"/>
      <c r="F8" s="4"/>
      <c r="G8" s="5"/>
      <c r="H8" s="4"/>
      <c r="I8" s="4"/>
      <c r="J8" s="5"/>
      <c r="K8" s="142"/>
      <c r="L8" s="142"/>
      <c r="M8" s="142"/>
      <c r="N8" s="142"/>
      <c r="O8" s="142"/>
      <c r="Q8" s="6"/>
    </row>
    <row r="9" spans="1:17" ht="23.25" customHeight="1" x14ac:dyDescent="0.25">
      <c r="B9" s="13" t="s">
        <v>107</v>
      </c>
      <c r="C9" s="13"/>
      <c r="D9" s="13"/>
      <c r="E9" s="13"/>
      <c r="F9" s="13"/>
      <c r="G9" s="13"/>
      <c r="H9" s="13"/>
      <c r="I9" s="13"/>
      <c r="J9" s="13"/>
      <c r="K9" s="13"/>
      <c r="L9" s="13"/>
      <c r="M9" s="13"/>
      <c r="N9" s="13"/>
      <c r="O9" s="13"/>
    </row>
    <row r="10" spans="1:17" ht="35.25" customHeight="1" x14ac:dyDescent="0.25">
      <c r="B10" s="13" t="s">
        <v>108</v>
      </c>
      <c r="C10" s="13"/>
      <c r="D10" s="13"/>
      <c r="E10" s="13"/>
      <c r="F10" s="13"/>
      <c r="G10" s="13"/>
      <c r="H10" s="13"/>
      <c r="I10" s="13"/>
      <c r="J10" s="13"/>
      <c r="K10" s="13"/>
      <c r="L10" s="13"/>
      <c r="M10" s="13"/>
      <c r="N10" s="13"/>
      <c r="O10" s="13"/>
    </row>
    <row r="11" spans="1:17" ht="43.5" customHeight="1" x14ac:dyDescent="0.25">
      <c r="B11" s="34" t="s">
        <v>67</v>
      </c>
      <c r="C11" s="34" t="s">
        <v>68</v>
      </c>
      <c r="D11" s="34" t="s">
        <v>69</v>
      </c>
      <c r="E11" s="35" t="s">
        <v>109</v>
      </c>
      <c r="F11" s="35" t="s">
        <v>110</v>
      </c>
      <c r="G11" s="143" t="s">
        <v>70</v>
      </c>
      <c r="H11" s="143"/>
      <c r="I11" s="143"/>
      <c r="J11" s="143" t="s">
        <v>71</v>
      </c>
      <c r="K11" s="143"/>
      <c r="L11" s="143"/>
      <c r="M11" s="143" t="s">
        <v>72</v>
      </c>
      <c r="N11" s="143"/>
      <c r="O11" s="34" t="s">
        <v>73</v>
      </c>
    </row>
    <row r="12" spans="1:17" ht="40.5" customHeight="1" x14ac:dyDescent="0.25">
      <c r="B12" s="34" t="s">
        <v>67</v>
      </c>
      <c r="C12" s="34" t="s">
        <v>68</v>
      </c>
      <c r="D12" s="34" t="s">
        <v>69</v>
      </c>
      <c r="E12" s="35" t="s">
        <v>109</v>
      </c>
      <c r="F12" s="35" t="s">
        <v>110</v>
      </c>
      <c r="G12" s="14" t="s">
        <v>74</v>
      </c>
      <c r="H12" s="14" t="s">
        <v>75</v>
      </c>
      <c r="I12" s="14" t="s">
        <v>76</v>
      </c>
      <c r="J12" s="14" t="s">
        <v>74</v>
      </c>
      <c r="K12" s="14" t="s">
        <v>75</v>
      </c>
      <c r="L12" s="14" t="s">
        <v>76</v>
      </c>
      <c r="M12" s="14" t="s">
        <v>74</v>
      </c>
      <c r="N12" s="14" t="s">
        <v>75</v>
      </c>
      <c r="O12" s="34" t="s">
        <v>73</v>
      </c>
    </row>
    <row r="13" spans="1:17" ht="27" customHeight="1" x14ac:dyDescent="0.25">
      <c r="B13" s="15" t="s">
        <v>77</v>
      </c>
      <c r="C13" s="16" t="s">
        <v>78</v>
      </c>
      <c r="D13" s="17" t="s">
        <v>81</v>
      </c>
      <c r="E13" s="17" t="s">
        <v>80</v>
      </c>
      <c r="F13" s="18">
        <v>34</v>
      </c>
      <c r="G13" s="18">
        <v>8</v>
      </c>
      <c r="H13" s="18">
        <v>8</v>
      </c>
      <c r="I13" s="18">
        <f>SUM(G13:H13)</f>
        <v>16</v>
      </c>
      <c r="J13" s="18">
        <v>0</v>
      </c>
      <c r="K13" s="18">
        <v>7</v>
      </c>
      <c r="L13" s="18">
        <f>SUM(J13:K13)</f>
        <v>7</v>
      </c>
      <c r="M13" s="18">
        <f>+G13+J13</f>
        <v>8</v>
      </c>
      <c r="N13" s="18">
        <f>+H13+K13</f>
        <v>15</v>
      </c>
      <c r="O13" s="18">
        <f>SUM(M13:N13)</f>
        <v>23</v>
      </c>
    </row>
    <row r="14" spans="1:17" ht="27" customHeight="1" x14ac:dyDescent="0.25">
      <c r="B14" s="15" t="s">
        <v>111</v>
      </c>
      <c r="C14" s="16" t="s">
        <v>78</v>
      </c>
      <c r="D14" s="17" t="s">
        <v>81</v>
      </c>
      <c r="E14" s="17" t="s">
        <v>80</v>
      </c>
      <c r="F14" s="18">
        <v>15</v>
      </c>
      <c r="G14" s="18">
        <v>7</v>
      </c>
      <c r="H14" s="18">
        <v>2</v>
      </c>
      <c r="I14" s="18">
        <f t="shared" ref="I14:I90" si="0">SUM(G14:H14)</f>
        <v>9</v>
      </c>
      <c r="J14" s="18">
        <v>0</v>
      </c>
      <c r="K14" s="18">
        <v>0</v>
      </c>
      <c r="L14" s="18">
        <f t="shared" ref="L14:L77" si="1">SUM(J14:K14)</f>
        <v>0</v>
      </c>
      <c r="M14" s="18">
        <f t="shared" ref="M14:N32" si="2">+G14+J14</f>
        <v>7</v>
      </c>
      <c r="N14" s="18">
        <f t="shared" si="2"/>
        <v>2</v>
      </c>
      <c r="O14" s="18">
        <f t="shared" ref="O14:O77" si="3">SUM(M14:N14)</f>
        <v>9</v>
      </c>
    </row>
    <row r="15" spans="1:17" ht="27" customHeight="1" x14ac:dyDescent="0.25">
      <c r="B15" s="15" t="s">
        <v>82</v>
      </c>
      <c r="C15" s="16" t="s">
        <v>78</v>
      </c>
      <c r="D15" s="17" t="s">
        <v>79</v>
      </c>
      <c r="E15" s="17" t="s">
        <v>80</v>
      </c>
      <c r="F15" s="18">
        <v>36</v>
      </c>
      <c r="G15" s="18">
        <v>12</v>
      </c>
      <c r="H15" s="18">
        <v>7</v>
      </c>
      <c r="I15" s="18">
        <f t="shared" si="0"/>
        <v>19</v>
      </c>
      <c r="J15" s="18">
        <v>18</v>
      </c>
      <c r="K15" s="18">
        <v>9</v>
      </c>
      <c r="L15" s="18">
        <f t="shared" si="1"/>
        <v>27</v>
      </c>
      <c r="M15" s="18">
        <f t="shared" si="2"/>
        <v>30</v>
      </c>
      <c r="N15" s="18">
        <f t="shared" si="2"/>
        <v>16</v>
      </c>
      <c r="O15" s="18">
        <f t="shared" si="3"/>
        <v>46</v>
      </c>
    </row>
    <row r="16" spans="1:17" ht="27" customHeight="1" x14ac:dyDescent="0.25">
      <c r="B16" s="15" t="s">
        <v>112</v>
      </c>
      <c r="C16" s="16" t="s">
        <v>78</v>
      </c>
      <c r="D16" s="17" t="s">
        <v>81</v>
      </c>
      <c r="E16" s="17" t="s">
        <v>84</v>
      </c>
      <c r="F16" s="18">
        <v>61</v>
      </c>
      <c r="G16" s="18">
        <v>18</v>
      </c>
      <c r="H16" s="18">
        <v>19</v>
      </c>
      <c r="I16" s="18">
        <f t="shared" si="0"/>
        <v>37</v>
      </c>
      <c r="J16" s="18">
        <v>15</v>
      </c>
      <c r="K16" s="18">
        <v>7</v>
      </c>
      <c r="L16" s="18">
        <f t="shared" si="1"/>
        <v>22</v>
      </c>
      <c r="M16" s="18">
        <f t="shared" si="2"/>
        <v>33</v>
      </c>
      <c r="N16" s="18">
        <f t="shared" si="2"/>
        <v>26</v>
      </c>
      <c r="O16" s="18">
        <f t="shared" si="3"/>
        <v>59</v>
      </c>
    </row>
    <row r="17" spans="2:15" ht="27" customHeight="1" x14ac:dyDescent="0.25">
      <c r="B17" s="15" t="s">
        <v>112</v>
      </c>
      <c r="C17" s="16" t="s">
        <v>78</v>
      </c>
      <c r="D17" s="17" t="s">
        <v>79</v>
      </c>
      <c r="E17" s="17" t="s">
        <v>84</v>
      </c>
      <c r="F17" s="18">
        <v>92</v>
      </c>
      <c r="G17" s="18">
        <v>32</v>
      </c>
      <c r="H17" s="18">
        <v>28</v>
      </c>
      <c r="I17" s="18">
        <f t="shared" si="0"/>
        <v>60</v>
      </c>
      <c r="J17" s="18">
        <v>27</v>
      </c>
      <c r="K17" s="18">
        <v>24</v>
      </c>
      <c r="L17" s="18">
        <f t="shared" si="1"/>
        <v>51</v>
      </c>
      <c r="M17" s="18">
        <f t="shared" si="2"/>
        <v>59</v>
      </c>
      <c r="N17" s="18">
        <f t="shared" si="2"/>
        <v>52</v>
      </c>
      <c r="O17" s="18">
        <f t="shared" si="3"/>
        <v>111</v>
      </c>
    </row>
    <row r="18" spans="2:15" ht="27" customHeight="1" x14ac:dyDescent="0.25">
      <c r="B18" s="15" t="s">
        <v>77</v>
      </c>
      <c r="C18" s="16" t="s">
        <v>78</v>
      </c>
      <c r="D18" s="17" t="s">
        <v>81</v>
      </c>
      <c r="E18" s="17" t="s">
        <v>84</v>
      </c>
      <c r="F18" s="18">
        <v>229</v>
      </c>
      <c r="G18" s="18">
        <v>54</v>
      </c>
      <c r="H18" s="18">
        <v>112</v>
      </c>
      <c r="I18" s="18">
        <f t="shared" si="0"/>
        <v>166</v>
      </c>
      <c r="J18" s="18">
        <v>35</v>
      </c>
      <c r="K18" s="18">
        <v>75</v>
      </c>
      <c r="L18" s="18">
        <f t="shared" si="1"/>
        <v>110</v>
      </c>
      <c r="M18" s="18">
        <f t="shared" si="2"/>
        <v>89</v>
      </c>
      <c r="N18" s="18">
        <f t="shared" si="2"/>
        <v>187</v>
      </c>
      <c r="O18" s="18">
        <f t="shared" si="3"/>
        <v>276</v>
      </c>
    </row>
    <row r="19" spans="2:15" s="2" customFormat="1" ht="27" customHeight="1" x14ac:dyDescent="0.25">
      <c r="B19" s="15" t="s">
        <v>77</v>
      </c>
      <c r="C19" s="16" t="s">
        <v>78</v>
      </c>
      <c r="D19" s="17" t="s">
        <v>79</v>
      </c>
      <c r="E19" s="17" t="s">
        <v>84</v>
      </c>
      <c r="F19" s="18">
        <v>145</v>
      </c>
      <c r="G19" s="18">
        <v>33</v>
      </c>
      <c r="H19" s="18">
        <v>85</v>
      </c>
      <c r="I19" s="18">
        <f t="shared" si="0"/>
        <v>118</v>
      </c>
      <c r="J19" s="18">
        <v>56</v>
      </c>
      <c r="K19" s="18">
        <v>97</v>
      </c>
      <c r="L19" s="18">
        <f t="shared" si="1"/>
        <v>153</v>
      </c>
      <c r="M19" s="18">
        <f t="shared" si="2"/>
        <v>89</v>
      </c>
      <c r="N19" s="18">
        <f t="shared" si="2"/>
        <v>182</v>
      </c>
      <c r="O19" s="18">
        <f t="shared" si="3"/>
        <v>271</v>
      </c>
    </row>
    <row r="20" spans="2:15" s="2" customFormat="1" ht="27" customHeight="1" x14ac:dyDescent="0.25">
      <c r="B20" s="15" t="s">
        <v>85</v>
      </c>
      <c r="C20" s="16" t="s">
        <v>78</v>
      </c>
      <c r="D20" s="17" t="s">
        <v>81</v>
      </c>
      <c r="E20" s="17" t="s">
        <v>84</v>
      </c>
      <c r="F20" s="18">
        <v>45</v>
      </c>
      <c r="G20" s="18">
        <v>19</v>
      </c>
      <c r="H20" s="18">
        <v>11</v>
      </c>
      <c r="I20" s="18">
        <f t="shared" si="0"/>
        <v>30</v>
      </c>
      <c r="J20" s="18">
        <v>15</v>
      </c>
      <c r="K20" s="18">
        <v>7</v>
      </c>
      <c r="L20" s="18">
        <f t="shared" si="1"/>
        <v>22</v>
      </c>
      <c r="M20" s="18">
        <f t="shared" si="2"/>
        <v>34</v>
      </c>
      <c r="N20" s="18">
        <f t="shared" si="2"/>
        <v>18</v>
      </c>
      <c r="O20" s="18">
        <f t="shared" si="3"/>
        <v>52</v>
      </c>
    </row>
    <row r="21" spans="2:15" s="2" customFormat="1" ht="27" customHeight="1" x14ac:dyDescent="0.25">
      <c r="B21" s="15" t="s">
        <v>85</v>
      </c>
      <c r="C21" s="16" t="s">
        <v>78</v>
      </c>
      <c r="D21" s="17" t="s">
        <v>79</v>
      </c>
      <c r="E21" s="17" t="s">
        <v>84</v>
      </c>
      <c r="F21" s="18">
        <v>36</v>
      </c>
      <c r="G21" s="18">
        <v>24</v>
      </c>
      <c r="H21" s="18">
        <v>7</v>
      </c>
      <c r="I21" s="18">
        <f t="shared" si="0"/>
        <v>31</v>
      </c>
      <c r="J21" s="18">
        <v>13</v>
      </c>
      <c r="K21" s="18">
        <v>6</v>
      </c>
      <c r="L21" s="18">
        <f t="shared" si="1"/>
        <v>19</v>
      </c>
      <c r="M21" s="18">
        <f t="shared" si="2"/>
        <v>37</v>
      </c>
      <c r="N21" s="18">
        <f t="shared" si="2"/>
        <v>13</v>
      </c>
      <c r="O21" s="18">
        <f t="shared" si="3"/>
        <v>50</v>
      </c>
    </row>
    <row r="22" spans="2:15" s="2" customFormat="1" ht="27" customHeight="1" x14ac:dyDescent="0.25">
      <c r="B22" s="15" t="s">
        <v>86</v>
      </c>
      <c r="C22" s="16" t="s">
        <v>78</v>
      </c>
      <c r="D22" s="17" t="s">
        <v>81</v>
      </c>
      <c r="E22" s="17" t="s">
        <v>84</v>
      </c>
      <c r="F22" s="18">
        <v>179</v>
      </c>
      <c r="G22" s="18">
        <v>57</v>
      </c>
      <c r="H22" s="18">
        <v>72</v>
      </c>
      <c r="I22" s="18">
        <f t="shared" si="0"/>
        <v>129</v>
      </c>
      <c r="J22" s="18">
        <v>33</v>
      </c>
      <c r="K22" s="18">
        <v>54</v>
      </c>
      <c r="L22" s="18">
        <f t="shared" si="1"/>
        <v>87</v>
      </c>
      <c r="M22" s="18">
        <f t="shared" si="2"/>
        <v>90</v>
      </c>
      <c r="N22" s="18">
        <f t="shared" si="2"/>
        <v>126</v>
      </c>
      <c r="O22" s="18">
        <f t="shared" si="3"/>
        <v>216</v>
      </c>
    </row>
    <row r="23" spans="2:15" s="2" customFormat="1" ht="27" customHeight="1" x14ac:dyDescent="0.25">
      <c r="B23" s="15" t="s">
        <v>86</v>
      </c>
      <c r="C23" s="16" t="s">
        <v>78</v>
      </c>
      <c r="D23" s="17" t="s">
        <v>79</v>
      </c>
      <c r="E23" s="17" t="s">
        <v>84</v>
      </c>
      <c r="F23" s="18">
        <v>95</v>
      </c>
      <c r="G23" s="18">
        <v>34</v>
      </c>
      <c r="H23" s="18">
        <v>38</v>
      </c>
      <c r="I23" s="18">
        <f t="shared" si="0"/>
        <v>72</v>
      </c>
      <c r="J23" s="18">
        <v>24</v>
      </c>
      <c r="K23" s="18">
        <v>49</v>
      </c>
      <c r="L23" s="18">
        <f t="shared" si="1"/>
        <v>73</v>
      </c>
      <c r="M23" s="18">
        <f t="shared" si="2"/>
        <v>58</v>
      </c>
      <c r="N23" s="18">
        <f t="shared" si="2"/>
        <v>87</v>
      </c>
      <c r="O23" s="18">
        <f t="shared" si="3"/>
        <v>145</v>
      </c>
    </row>
    <row r="24" spans="2:15" s="2" customFormat="1" ht="27" customHeight="1" x14ac:dyDescent="0.25">
      <c r="B24" s="15" t="s">
        <v>87</v>
      </c>
      <c r="C24" s="16" t="s">
        <v>78</v>
      </c>
      <c r="D24" s="17" t="s">
        <v>81</v>
      </c>
      <c r="E24" s="17" t="s">
        <v>84</v>
      </c>
      <c r="F24" s="18">
        <v>18</v>
      </c>
      <c r="G24" s="18">
        <v>5</v>
      </c>
      <c r="H24" s="18">
        <v>7</v>
      </c>
      <c r="I24" s="18">
        <f t="shared" si="0"/>
        <v>12</v>
      </c>
      <c r="J24" s="18">
        <v>3</v>
      </c>
      <c r="K24" s="18">
        <v>4</v>
      </c>
      <c r="L24" s="18">
        <f t="shared" si="1"/>
        <v>7</v>
      </c>
      <c r="M24" s="18">
        <f t="shared" si="2"/>
        <v>8</v>
      </c>
      <c r="N24" s="18">
        <f t="shared" si="2"/>
        <v>11</v>
      </c>
      <c r="O24" s="18">
        <f t="shared" si="3"/>
        <v>19</v>
      </c>
    </row>
    <row r="25" spans="2:15" s="2" customFormat="1" ht="27" customHeight="1" x14ac:dyDescent="0.25">
      <c r="B25" s="15" t="s">
        <v>88</v>
      </c>
      <c r="C25" s="16" t="s">
        <v>78</v>
      </c>
      <c r="D25" s="17" t="s">
        <v>81</v>
      </c>
      <c r="E25" s="17" t="s">
        <v>84</v>
      </c>
      <c r="F25" s="18">
        <v>51</v>
      </c>
      <c r="G25" s="18">
        <v>11</v>
      </c>
      <c r="H25" s="18">
        <v>26</v>
      </c>
      <c r="I25" s="18">
        <f t="shared" si="0"/>
        <v>37</v>
      </c>
      <c r="J25" s="18">
        <v>4</v>
      </c>
      <c r="K25" s="18">
        <v>10</v>
      </c>
      <c r="L25" s="18">
        <f t="shared" si="1"/>
        <v>14</v>
      </c>
      <c r="M25" s="18">
        <f t="shared" si="2"/>
        <v>15</v>
      </c>
      <c r="N25" s="18">
        <f t="shared" si="2"/>
        <v>36</v>
      </c>
      <c r="O25" s="18">
        <f t="shared" si="3"/>
        <v>51</v>
      </c>
    </row>
    <row r="26" spans="2:15" s="2" customFormat="1" ht="27" customHeight="1" x14ac:dyDescent="0.25">
      <c r="B26" s="15" t="s">
        <v>88</v>
      </c>
      <c r="C26" s="16" t="s">
        <v>78</v>
      </c>
      <c r="D26" s="17" t="s">
        <v>79</v>
      </c>
      <c r="E26" s="17" t="s">
        <v>84</v>
      </c>
      <c r="F26" s="18">
        <v>50</v>
      </c>
      <c r="G26" s="18">
        <v>14</v>
      </c>
      <c r="H26" s="18">
        <v>17</v>
      </c>
      <c r="I26" s="18">
        <f t="shared" si="0"/>
        <v>31</v>
      </c>
      <c r="J26" s="18">
        <v>11</v>
      </c>
      <c r="K26" s="18">
        <v>14</v>
      </c>
      <c r="L26" s="18">
        <f t="shared" si="1"/>
        <v>25</v>
      </c>
      <c r="M26" s="18">
        <f t="shared" si="2"/>
        <v>25</v>
      </c>
      <c r="N26" s="18">
        <f t="shared" si="2"/>
        <v>31</v>
      </c>
      <c r="O26" s="18">
        <f t="shared" si="3"/>
        <v>56</v>
      </c>
    </row>
    <row r="27" spans="2:15" s="2" customFormat="1" ht="27" customHeight="1" x14ac:dyDescent="0.25">
      <c r="B27" s="15" t="s">
        <v>82</v>
      </c>
      <c r="C27" s="16" t="s">
        <v>78</v>
      </c>
      <c r="D27" s="17" t="s">
        <v>81</v>
      </c>
      <c r="E27" s="17" t="s">
        <v>84</v>
      </c>
      <c r="F27" s="18">
        <v>168</v>
      </c>
      <c r="G27" s="18">
        <v>94</v>
      </c>
      <c r="H27" s="18">
        <v>33</v>
      </c>
      <c r="I27" s="18">
        <f t="shared" si="0"/>
        <v>127</v>
      </c>
      <c r="J27" s="18">
        <v>62</v>
      </c>
      <c r="K27" s="18">
        <v>27</v>
      </c>
      <c r="L27" s="18">
        <f t="shared" si="1"/>
        <v>89</v>
      </c>
      <c r="M27" s="18">
        <f t="shared" si="2"/>
        <v>156</v>
      </c>
      <c r="N27" s="18">
        <f t="shared" si="2"/>
        <v>60</v>
      </c>
      <c r="O27" s="18">
        <f t="shared" si="3"/>
        <v>216</v>
      </c>
    </row>
    <row r="28" spans="2:15" s="2" customFormat="1" ht="27" customHeight="1" x14ac:dyDescent="0.25">
      <c r="B28" s="15" t="s">
        <v>82</v>
      </c>
      <c r="C28" s="16" t="s">
        <v>78</v>
      </c>
      <c r="D28" s="17" t="s">
        <v>79</v>
      </c>
      <c r="E28" s="17" t="s">
        <v>84</v>
      </c>
      <c r="F28" s="18">
        <v>149</v>
      </c>
      <c r="G28" s="18">
        <v>89</v>
      </c>
      <c r="H28" s="18">
        <v>22</v>
      </c>
      <c r="I28" s="18">
        <f t="shared" si="0"/>
        <v>111</v>
      </c>
      <c r="J28" s="18">
        <v>117</v>
      </c>
      <c r="K28" s="18">
        <v>41</v>
      </c>
      <c r="L28" s="18">
        <f t="shared" si="1"/>
        <v>158</v>
      </c>
      <c r="M28" s="18">
        <f t="shared" si="2"/>
        <v>206</v>
      </c>
      <c r="N28" s="18">
        <f t="shared" si="2"/>
        <v>63</v>
      </c>
      <c r="O28" s="18">
        <f t="shared" si="3"/>
        <v>269</v>
      </c>
    </row>
    <row r="29" spans="2:15" s="2" customFormat="1" ht="25.5" customHeight="1" x14ac:dyDescent="0.25">
      <c r="B29" s="15" t="s">
        <v>89</v>
      </c>
      <c r="C29" s="16" t="s">
        <v>78</v>
      </c>
      <c r="D29" s="17" t="s">
        <v>81</v>
      </c>
      <c r="E29" s="17" t="s">
        <v>84</v>
      </c>
      <c r="F29" s="18">
        <v>41</v>
      </c>
      <c r="G29" s="18">
        <v>12</v>
      </c>
      <c r="H29" s="18">
        <v>14</v>
      </c>
      <c r="I29" s="18">
        <f t="shared" si="0"/>
        <v>26</v>
      </c>
      <c r="J29" s="18">
        <v>8</v>
      </c>
      <c r="K29" s="18">
        <v>8</v>
      </c>
      <c r="L29" s="18">
        <f t="shared" si="1"/>
        <v>16</v>
      </c>
      <c r="M29" s="18">
        <f t="shared" si="2"/>
        <v>20</v>
      </c>
      <c r="N29" s="18">
        <f t="shared" si="2"/>
        <v>22</v>
      </c>
      <c r="O29" s="18">
        <f t="shared" si="3"/>
        <v>42</v>
      </c>
    </row>
    <row r="30" spans="2:15" s="2" customFormat="1" ht="25.5" customHeight="1" x14ac:dyDescent="0.25">
      <c r="B30" s="15" t="s">
        <v>89</v>
      </c>
      <c r="C30" s="16" t="s">
        <v>78</v>
      </c>
      <c r="D30" s="17" t="s">
        <v>79</v>
      </c>
      <c r="E30" s="17" t="s">
        <v>84</v>
      </c>
      <c r="F30" s="18">
        <v>4</v>
      </c>
      <c r="G30" s="18">
        <v>0</v>
      </c>
      <c r="H30" s="18">
        <v>0</v>
      </c>
      <c r="I30" s="18">
        <f t="shared" si="0"/>
        <v>0</v>
      </c>
      <c r="J30" s="18">
        <v>9</v>
      </c>
      <c r="K30" s="18">
        <v>4</v>
      </c>
      <c r="L30" s="18">
        <f t="shared" si="1"/>
        <v>13</v>
      </c>
      <c r="M30" s="18">
        <f t="shared" si="2"/>
        <v>9</v>
      </c>
      <c r="N30" s="18">
        <f t="shared" si="2"/>
        <v>4</v>
      </c>
      <c r="O30" s="18">
        <f t="shared" si="3"/>
        <v>13</v>
      </c>
    </row>
    <row r="31" spans="2:15" s="2" customFormat="1" ht="23.25" customHeight="1" x14ac:dyDescent="0.25">
      <c r="B31" s="15" t="s">
        <v>113</v>
      </c>
      <c r="C31" s="16" t="s">
        <v>78</v>
      </c>
      <c r="D31" s="17" t="s">
        <v>81</v>
      </c>
      <c r="E31" s="17" t="s">
        <v>84</v>
      </c>
      <c r="F31" s="18">
        <v>132</v>
      </c>
      <c r="G31" s="18">
        <v>91</v>
      </c>
      <c r="H31" s="18">
        <v>7</v>
      </c>
      <c r="I31" s="18">
        <f t="shared" si="0"/>
        <v>98</v>
      </c>
      <c r="J31" s="18">
        <v>40</v>
      </c>
      <c r="K31" s="18">
        <v>6</v>
      </c>
      <c r="L31" s="18">
        <f t="shared" si="1"/>
        <v>46</v>
      </c>
      <c r="M31" s="18">
        <f t="shared" si="2"/>
        <v>131</v>
      </c>
      <c r="N31" s="18">
        <f t="shared" si="2"/>
        <v>13</v>
      </c>
      <c r="O31" s="18">
        <f t="shared" si="3"/>
        <v>144</v>
      </c>
    </row>
    <row r="32" spans="2:15" s="2" customFormat="1" ht="23.25" customHeight="1" x14ac:dyDescent="0.25">
      <c r="B32" s="15" t="s">
        <v>113</v>
      </c>
      <c r="C32" s="16" t="s">
        <v>78</v>
      </c>
      <c r="D32" s="17" t="s">
        <v>79</v>
      </c>
      <c r="E32" s="17" t="s">
        <v>84</v>
      </c>
      <c r="F32" s="18">
        <v>97</v>
      </c>
      <c r="G32" s="18">
        <v>66</v>
      </c>
      <c r="H32" s="18">
        <v>3</v>
      </c>
      <c r="I32" s="18">
        <f t="shared" si="0"/>
        <v>69</v>
      </c>
      <c r="J32" s="18">
        <v>95</v>
      </c>
      <c r="K32" s="18">
        <v>8</v>
      </c>
      <c r="L32" s="18">
        <f t="shared" si="1"/>
        <v>103</v>
      </c>
      <c r="M32" s="18">
        <f t="shared" si="2"/>
        <v>161</v>
      </c>
      <c r="N32" s="18">
        <f t="shared" si="2"/>
        <v>11</v>
      </c>
      <c r="O32" s="18">
        <f t="shared" si="3"/>
        <v>172</v>
      </c>
    </row>
    <row r="33" spans="2:15" ht="27" customHeight="1" x14ac:dyDescent="0.25">
      <c r="B33" s="15" t="s">
        <v>111</v>
      </c>
      <c r="C33" s="16" t="s">
        <v>78</v>
      </c>
      <c r="D33" s="17" t="s">
        <v>81</v>
      </c>
      <c r="E33" s="17" t="s">
        <v>84</v>
      </c>
      <c r="F33" s="18">
        <v>130</v>
      </c>
      <c r="G33" s="18">
        <v>76</v>
      </c>
      <c r="H33" s="18">
        <v>16</v>
      </c>
      <c r="I33" s="18">
        <f t="shared" si="0"/>
        <v>92</v>
      </c>
      <c r="J33" s="18">
        <v>73</v>
      </c>
      <c r="K33" s="18">
        <v>12</v>
      </c>
      <c r="L33" s="18">
        <f t="shared" si="1"/>
        <v>85</v>
      </c>
      <c r="M33" s="18">
        <f t="shared" ref="M33:N61" si="4">+G33+J33</f>
        <v>149</v>
      </c>
      <c r="N33" s="18">
        <f t="shared" si="4"/>
        <v>28</v>
      </c>
      <c r="O33" s="18">
        <f t="shared" si="3"/>
        <v>177</v>
      </c>
    </row>
    <row r="34" spans="2:15" ht="27" customHeight="1" x14ac:dyDescent="0.25">
      <c r="B34" s="15" t="s">
        <v>111</v>
      </c>
      <c r="C34" s="16" t="s">
        <v>78</v>
      </c>
      <c r="D34" s="17" t="s">
        <v>79</v>
      </c>
      <c r="E34" s="17" t="s">
        <v>84</v>
      </c>
      <c r="F34" s="18">
        <v>54</v>
      </c>
      <c r="G34" s="18">
        <v>36</v>
      </c>
      <c r="H34" s="18">
        <v>3</v>
      </c>
      <c r="I34" s="18">
        <f t="shared" si="0"/>
        <v>39</v>
      </c>
      <c r="J34" s="18">
        <v>67</v>
      </c>
      <c r="K34" s="18">
        <v>7</v>
      </c>
      <c r="L34" s="18">
        <f t="shared" si="1"/>
        <v>74</v>
      </c>
      <c r="M34" s="18">
        <f t="shared" si="4"/>
        <v>103</v>
      </c>
      <c r="N34" s="18">
        <f t="shared" si="4"/>
        <v>10</v>
      </c>
      <c r="O34" s="18">
        <f t="shared" si="3"/>
        <v>113</v>
      </c>
    </row>
    <row r="35" spans="2:15" ht="27" customHeight="1" x14ac:dyDescent="0.25">
      <c r="B35" s="15" t="s">
        <v>114</v>
      </c>
      <c r="C35" s="16" t="s">
        <v>78</v>
      </c>
      <c r="D35" s="17" t="s">
        <v>81</v>
      </c>
      <c r="E35" s="17" t="s">
        <v>84</v>
      </c>
      <c r="F35" s="18">
        <v>51</v>
      </c>
      <c r="G35" s="18">
        <v>11</v>
      </c>
      <c r="H35" s="18">
        <v>19</v>
      </c>
      <c r="I35" s="18">
        <f t="shared" si="0"/>
        <v>30</v>
      </c>
      <c r="J35" s="18">
        <v>9</v>
      </c>
      <c r="K35" s="18">
        <v>9</v>
      </c>
      <c r="L35" s="18">
        <f t="shared" si="1"/>
        <v>18</v>
      </c>
      <c r="M35" s="18">
        <f t="shared" si="4"/>
        <v>20</v>
      </c>
      <c r="N35" s="18">
        <f t="shared" si="4"/>
        <v>28</v>
      </c>
      <c r="O35" s="18">
        <f t="shared" si="3"/>
        <v>48</v>
      </c>
    </row>
    <row r="36" spans="2:15" ht="27" customHeight="1" x14ac:dyDescent="0.25">
      <c r="B36" s="15" t="s">
        <v>90</v>
      </c>
      <c r="C36" s="16" t="s">
        <v>78</v>
      </c>
      <c r="D36" s="17" t="s">
        <v>81</v>
      </c>
      <c r="E36" s="17" t="s">
        <v>84</v>
      </c>
      <c r="F36" s="18">
        <v>96</v>
      </c>
      <c r="G36" s="18">
        <v>15</v>
      </c>
      <c r="H36" s="18">
        <v>52</v>
      </c>
      <c r="I36" s="18">
        <f t="shared" si="0"/>
        <v>67</v>
      </c>
      <c r="J36" s="18">
        <v>10</v>
      </c>
      <c r="K36" s="18">
        <v>25</v>
      </c>
      <c r="L36" s="18">
        <f t="shared" si="1"/>
        <v>35</v>
      </c>
      <c r="M36" s="18">
        <f t="shared" si="4"/>
        <v>25</v>
      </c>
      <c r="N36" s="18">
        <f t="shared" si="4"/>
        <v>77</v>
      </c>
      <c r="O36" s="18">
        <f t="shared" si="3"/>
        <v>102</v>
      </c>
    </row>
    <row r="37" spans="2:15" ht="27" customHeight="1" x14ac:dyDescent="0.25">
      <c r="B37" s="15" t="s">
        <v>90</v>
      </c>
      <c r="C37" s="16" t="s">
        <v>78</v>
      </c>
      <c r="D37" s="17" t="s">
        <v>79</v>
      </c>
      <c r="E37" s="17" t="s">
        <v>84</v>
      </c>
      <c r="F37" s="18">
        <v>55</v>
      </c>
      <c r="G37" s="18">
        <v>8</v>
      </c>
      <c r="H37" s="18">
        <v>29</v>
      </c>
      <c r="I37" s="18">
        <f t="shared" si="0"/>
        <v>37</v>
      </c>
      <c r="J37" s="18">
        <v>15</v>
      </c>
      <c r="K37" s="18">
        <v>38</v>
      </c>
      <c r="L37" s="18">
        <f t="shared" si="1"/>
        <v>53</v>
      </c>
      <c r="M37" s="18">
        <f t="shared" si="4"/>
        <v>23</v>
      </c>
      <c r="N37" s="18">
        <f t="shared" si="4"/>
        <v>67</v>
      </c>
      <c r="O37" s="18">
        <f t="shared" si="3"/>
        <v>90</v>
      </c>
    </row>
    <row r="38" spans="2:15" s="2" customFormat="1" ht="27" customHeight="1" x14ac:dyDescent="0.25">
      <c r="B38" s="15" t="s">
        <v>91</v>
      </c>
      <c r="C38" s="16" t="s">
        <v>78</v>
      </c>
      <c r="D38" s="17" t="s">
        <v>81</v>
      </c>
      <c r="E38" s="17" t="s">
        <v>84</v>
      </c>
      <c r="F38" s="18">
        <v>80</v>
      </c>
      <c r="G38" s="18">
        <v>40</v>
      </c>
      <c r="H38" s="18">
        <v>15</v>
      </c>
      <c r="I38" s="18">
        <f t="shared" si="0"/>
        <v>55</v>
      </c>
      <c r="J38" s="18">
        <v>17</v>
      </c>
      <c r="K38" s="18">
        <v>5</v>
      </c>
      <c r="L38" s="18">
        <f t="shared" si="1"/>
        <v>22</v>
      </c>
      <c r="M38" s="18">
        <f t="shared" si="4"/>
        <v>57</v>
      </c>
      <c r="N38" s="18">
        <f t="shared" si="4"/>
        <v>20</v>
      </c>
      <c r="O38" s="18">
        <f t="shared" si="3"/>
        <v>77</v>
      </c>
    </row>
    <row r="39" spans="2:15" s="2" customFormat="1" ht="27" customHeight="1" x14ac:dyDescent="0.25">
      <c r="B39" s="15" t="s">
        <v>91</v>
      </c>
      <c r="C39" s="16" t="s">
        <v>78</v>
      </c>
      <c r="D39" s="17" t="s">
        <v>79</v>
      </c>
      <c r="E39" s="17" t="s">
        <v>84</v>
      </c>
      <c r="F39" s="18">
        <v>49</v>
      </c>
      <c r="G39" s="18">
        <v>30</v>
      </c>
      <c r="H39" s="18">
        <v>9</v>
      </c>
      <c r="I39" s="18">
        <f t="shared" si="0"/>
        <v>39</v>
      </c>
      <c r="J39" s="18">
        <v>14</v>
      </c>
      <c r="K39" s="18">
        <v>6</v>
      </c>
      <c r="L39" s="18">
        <f t="shared" si="1"/>
        <v>20</v>
      </c>
      <c r="M39" s="18">
        <f t="shared" si="4"/>
        <v>44</v>
      </c>
      <c r="N39" s="18">
        <f t="shared" si="4"/>
        <v>15</v>
      </c>
      <c r="O39" s="18">
        <f t="shared" si="3"/>
        <v>59</v>
      </c>
    </row>
    <row r="40" spans="2:15" s="2" customFormat="1" ht="27" customHeight="1" x14ac:dyDescent="0.25">
      <c r="B40" s="15" t="s">
        <v>115</v>
      </c>
      <c r="C40" s="16" t="s">
        <v>78</v>
      </c>
      <c r="D40" s="17" t="s">
        <v>81</v>
      </c>
      <c r="E40" s="17" t="s">
        <v>84</v>
      </c>
      <c r="F40" s="18">
        <v>43</v>
      </c>
      <c r="G40" s="18">
        <v>16</v>
      </c>
      <c r="H40" s="18">
        <v>22</v>
      </c>
      <c r="I40" s="18">
        <f t="shared" si="0"/>
        <v>38</v>
      </c>
      <c r="J40" s="18">
        <v>5</v>
      </c>
      <c r="K40" s="18">
        <v>7</v>
      </c>
      <c r="L40" s="18">
        <f t="shared" si="1"/>
        <v>12</v>
      </c>
      <c r="M40" s="18">
        <f t="shared" si="4"/>
        <v>21</v>
      </c>
      <c r="N40" s="18">
        <f t="shared" si="4"/>
        <v>29</v>
      </c>
      <c r="O40" s="18">
        <f t="shared" si="3"/>
        <v>50</v>
      </c>
    </row>
    <row r="41" spans="2:15" s="2" customFormat="1" ht="27" customHeight="1" x14ac:dyDescent="0.25">
      <c r="B41" s="15" t="s">
        <v>115</v>
      </c>
      <c r="C41" s="16" t="s">
        <v>78</v>
      </c>
      <c r="D41" s="17" t="s">
        <v>79</v>
      </c>
      <c r="E41" s="17" t="s">
        <v>84</v>
      </c>
      <c r="F41" s="18">
        <v>43</v>
      </c>
      <c r="G41" s="18">
        <v>20</v>
      </c>
      <c r="H41" s="18">
        <v>12</v>
      </c>
      <c r="I41" s="18">
        <f t="shared" si="0"/>
        <v>32</v>
      </c>
      <c r="J41" s="18">
        <v>15</v>
      </c>
      <c r="K41" s="18">
        <v>14</v>
      </c>
      <c r="L41" s="18">
        <f t="shared" si="1"/>
        <v>29</v>
      </c>
      <c r="M41" s="18">
        <f t="shared" si="4"/>
        <v>35</v>
      </c>
      <c r="N41" s="18">
        <f t="shared" si="4"/>
        <v>26</v>
      </c>
      <c r="O41" s="18">
        <f t="shared" si="3"/>
        <v>61</v>
      </c>
    </row>
    <row r="42" spans="2:15" s="2" customFormat="1" ht="27" customHeight="1" x14ac:dyDescent="0.25">
      <c r="B42" s="15" t="s">
        <v>92</v>
      </c>
      <c r="C42" s="16" t="s">
        <v>78</v>
      </c>
      <c r="D42" s="17" t="s">
        <v>81</v>
      </c>
      <c r="E42" s="17" t="s">
        <v>84</v>
      </c>
      <c r="F42" s="18">
        <v>36</v>
      </c>
      <c r="G42" s="18">
        <v>17</v>
      </c>
      <c r="H42" s="18">
        <v>11</v>
      </c>
      <c r="I42" s="18">
        <f t="shared" si="0"/>
        <v>28</v>
      </c>
      <c r="J42" s="18">
        <v>6</v>
      </c>
      <c r="K42" s="18">
        <v>4</v>
      </c>
      <c r="L42" s="18">
        <f t="shared" si="1"/>
        <v>10</v>
      </c>
      <c r="M42" s="18">
        <f t="shared" si="4"/>
        <v>23</v>
      </c>
      <c r="N42" s="18">
        <f t="shared" si="4"/>
        <v>15</v>
      </c>
      <c r="O42" s="18">
        <f t="shared" si="3"/>
        <v>38</v>
      </c>
    </row>
    <row r="43" spans="2:15" s="2" customFormat="1" ht="27" customHeight="1" x14ac:dyDescent="0.25">
      <c r="B43" s="15" t="s">
        <v>92</v>
      </c>
      <c r="C43" s="16" t="s">
        <v>78</v>
      </c>
      <c r="D43" s="17" t="s">
        <v>79</v>
      </c>
      <c r="E43" s="17" t="s">
        <v>84</v>
      </c>
      <c r="F43" s="18">
        <v>9</v>
      </c>
      <c r="G43" s="18">
        <v>0</v>
      </c>
      <c r="H43" s="18">
        <v>0</v>
      </c>
      <c r="I43" s="18">
        <f t="shared" si="0"/>
        <v>0</v>
      </c>
      <c r="J43" s="18">
        <v>1</v>
      </c>
      <c r="K43" s="18">
        <v>3</v>
      </c>
      <c r="L43" s="18">
        <f t="shared" si="1"/>
        <v>4</v>
      </c>
      <c r="M43" s="18">
        <f t="shared" si="4"/>
        <v>1</v>
      </c>
      <c r="N43" s="18">
        <f t="shared" si="4"/>
        <v>3</v>
      </c>
      <c r="O43" s="18">
        <f t="shared" si="3"/>
        <v>4</v>
      </c>
    </row>
    <row r="44" spans="2:15" s="2" customFormat="1" ht="27" customHeight="1" x14ac:dyDescent="0.25">
      <c r="B44" s="15" t="s">
        <v>83</v>
      </c>
      <c r="C44" s="16" t="s">
        <v>78</v>
      </c>
      <c r="D44" s="17" t="s">
        <v>81</v>
      </c>
      <c r="E44" s="17" t="s">
        <v>84</v>
      </c>
      <c r="F44" s="18">
        <v>189</v>
      </c>
      <c r="G44" s="18">
        <v>23</v>
      </c>
      <c r="H44" s="18">
        <v>106</v>
      </c>
      <c r="I44" s="18">
        <f t="shared" si="0"/>
        <v>129</v>
      </c>
      <c r="J44" s="18">
        <v>21</v>
      </c>
      <c r="K44" s="18">
        <v>62</v>
      </c>
      <c r="L44" s="18">
        <f t="shared" si="1"/>
        <v>83</v>
      </c>
      <c r="M44" s="18">
        <f t="shared" si="4"/>
        <v>44</v>
      </c>
      <c r="N44" s="18">
        <f t="shared" si="4"/>
        <v>168</v>
      </c>
      <c r="O44" s="18">
        <f t="shared" si="3"/>
        <v>212</v>
      </c>
    </row>
    <row r="45" spans="2:15" s="2" customFormat="1" ht="27" customHeight="1" x14ac:dyDescent="0.25">
      <c r="B45" s="15" t="s">
        <v>83</v>
      </c>
      <c r="C45" s="16" t="s">
        <v>78</v>
      </c>
      <c r="D45" s="17" t="s">
        <v>79</v>
      </c>
      <c r="E45" s="17" t="s">
        <v>84</v>
      </c>
      <c r="F45" s="18">
        <v>47</v>
      </c>
      <c r="G45" s="18">
        <v>8</v>
      </c>
      <c r="H45" s="18">
        <v>25</v>
      </c>
      <c r="I45" s="18">
        <f t="shared" si="0"/>
        <v>33</v>
      </c>
      <c r="J45" s="18">
        <v>22</v>
      </c>
      <c r="K45" s="18">
        <v>58</v>
      </c>
      <c r="L45" s="18">
        <f t="shared" si="1"/>
        <v>80</v>
      </c>
      <c r="M45" s="18">
        <f t="shared" si="4"/>
        <v>30</v>
      </c>
      <c r="N45" s="18">
        <f t="shared" si="4"/>
        <v>83</v>
      </c>
      <c r="O45" s="18">
        <f t="shared" si="3"/>
        <v>113</v>
      </c>
    </row>
    <row r="46" spans="2:15" s="2" customFormat="1" ht="27" customHeight="1" x14ac:dyDescent="0.25">
      <c r="B46" s="15" t="s">
        <v>86</v>
      </c>
      <c r="C46" s="16" t="s">
        <v>78</v>
      </c>
      <c r="D46" s="17" t="s">
        <v>81</v>
      </c>
      <c r="E46" s="17" t="s">
        <v>93</v>
      </c>
      <c r="F46" s="18">
        <v>45</v>
      </c>
      <c r="G46" s="18">
        <v>17</v>
      </c>
      <c r="H46" s="18">
        <v>17</v>
      </c>
      <c r="I46" s="18">
        <f t="shared" si="0"/>
        <v>34</v>
      </c>
      <c r="J46" s="18">
        <v>12</v>
      </c>
      <c r="K46" s="18">
        <v>9</v>
      </c>
      <c r="L46" s="18">
        <f t="shared" si="1"/>
        <v>21</v>
      </c>
      <c r="M46" s="18">
        <f t="shared" si="4"/>
        <v>29</v>
      </c>
      <c r="N46" s="18">
        <f t="shared" si="4"/>
        <v>26</v>
      </c>
      <c r="O46" s="18">
        <f t="shared" si="3"/>
        <v>55</v>
      </c>
    </row>
    <row r="47" spans="2:15" s="2" customFormat="1" ht="27" customHeight="1" x14ac:dyDescent="0.25">
      <c r="B47" s="15" t="s">
        <v>86</v>
      </c>
      <c r="C47" s="16" t="s">
        <v>78</v>
      </c>
      <c r="D47" s="17" t="s">
        <v>79</v>
      </c>
      <c r="E47" s="17" t="s">
        <v>93</v>
      </c>
      <c r="F47" s="18">
        <v>43</v>
      </c>
      <c r="G47" s="18">
        <v>13</v>
      </c>
      <c r="H47" s="18">
        <v>11</v>
      </c>
      <c r="I47" s="18">
        <f t="shared" si="0"/>
        <v>24</v>
      </c>
      <c r="J47" s="18">
        <v>6</v>
      </c>
      <c r="K47" s="18">
        <v>9</v>
      </c>
      <c r="L47" s="18">
        <f t="shared" si="1"/>
        <v>15</v>
      </c>
      <c r="M47" s="18">
        <f t="shared" si="4"/>
        <v>19</v>
      </c>
      <c r="N47" s="18">
        <f t="shared" si="4"/>
        <v>20</v>
      </c>
      <c r="O47" s="18">
        <f t="shared" si="3"/>
        <v>39</v>
      </c>
    </row>
    <row r="48" spans="2:15" s="2" customFormat="1" ht="27" customHeight="1" x14ac:dyDescent="0.25">
      <c r="B48" s="15" t="s">
        <v>88</v>
      </c>
      <c r="C48" s="16" t="s">
        <v>78</v>
      </c>
      <c r="D48" s="17" t="s">
        <v>81</v>
      </c>
      <c r="E48" s="17" t="s">
        <v>93</v>
      </c>
      <c r="F48" s="18">
        <v>0</v>
      </c>
      <c r="G48" s="18">
        <v>0</v>
      </c>
      <c r="H48" s="18">
        <v>0</v>
      </c>
      <c r="I48" s="18">
        <f>SUM(G48:H48)</f>
        <v>0</v>
      </c>
      <c r="J48" s="18">
        <v>1</v>
      </c>
      <c r="K48" s="18">
        <v>0</v>
      </c>
      <c r="L48" s="18">
        <f t="shared" si="1"/>
        <v>1</v>
      </c>
      <c r="M48" s="18">
        <f t="shared" si="4"/>
        <v>1</v>
      </c>
      <c r="N48" s="18">
        <f t="shared" si="4"/>
        <v>0</v>
      </c>
      <c r="O48" s="18">
        <f t="shared" si="3"/>
        <v>1</v>
      </c>
    </row>
    <row r="49" spans="2:15" s="2" customFormat="1" ht="25.5" customHeight="1" x14ac:dyDescent="0.25">
      <c r="B49" s="15" t="s">
        <v>82</v>
      </c>
      <c r="C49" s="16" t="s">
        <v>78</v>
      </c>
      <c r="D49" s="17" t="s">
        <v>81</v>
      </c>
      <c r="E49" s="17" t="s">
        <v>93</v>
      </c>
      <c r="F49" s="18">
        <v>23</v>
      </c>
      <c r="G49" s="18">
        <v>12</v>
      </c>
      <c r="H49" s="18">
        <v>3</v>
      </c>
      <c r="I49" s="18">
        <f t="shared" si="0"/>
        <v>15</v>
      </c>
      <c r="J49" s="18">
        <v>10</v>
      </c>
      <c r="K49" s="18">
        <v>1</v>
      </c>
      <c r="L49" s="18">
        <f t="shared" si="1"/>
        <v>11</v>
      </c>
      <c r="M49" s="18">
        <f t="shared" si="4"/>
        <v>22</v>
      </c>
      <c r="N49" s="18">
        <f t="shared" si="4"/>
        <v>4</v>
      </c>
      <c r="O49" s="18">
        <f t="shared" si="3"/>
        <v>26</v>
      </c>
    </row>
    <row r="50" spans="2:15" ht="27" customHeight="1" x14ac:dyDescent="0.25">
      <c r="B50" s="15" t="s">
        <v>82</v>
      </c>
      <c r="C50" s="16" t="s">
        <v>78</v>
      </c>
      <c r="D50" s="17" t="s">
        <v>79</v>
      </c>
      <c r="E50" s="17" t="s">
        <v>93</v>
      </c>
      <c r="F50" s="18">
        <v>35</v>
      </c>
      <c r="G50" s="18">
        <v>16</v>
      </c>
      <c r="H50" s="18">
        <v>7</v>
      </c>
      <c r="I50" s="18">
        <f t="shared" si="0"/>
        <v>23</v>
      </c>
      <c r="J50" s="18">
        <v>9</v>
      </c>
      <c r="K50" s="18">
        <v>6</v>
      </c>
      <c r="L50" s="18">
        <f t="shared" si="1"/>
        <v>15</v>
      </c>
      <c r="M50" s="18">
        <f t="shared" si="4"/>
        <v>25</v>
      </c>
      <c r="N50" s="18">
        <f t="shared" si="4"/>
        <v>13</v>
      </c>
      <c r="O50" s="18">
        <f t="shared" si="3"/>
        <v>38</v>
      </c>
    </row>
    <row r="51" spans="2:15" ht="27" customHeight="1" x14ac:dyDescent="0.25">
      <c r="B51" s="15" t="s">
        <v>113</v>
      </c>
      <c r="C51" s="16" t="s">
        <v>78</v>
      </c>
      <c r="D51" s="17" t="s">
        <v>81</v>
      </c>
      <c r="E51" s="17" t="s">
        <v>93</v>
      </c>
      <c r="F51" s="18">
        <v>42</v>
      </c>
      <c r="G51" s="18">
        <v>27</v>
      </c>
      <c r="H51" s="18">
        <v>2</v>
      </c>
      <c r="I51" s="18">
        <f t="shared" si="0"/>
        <v>29</v>
      </c>
      <c r="J51" s="18">
        <v>9</v>
      </c>
      <c r="K51" s="18"/>
      <c r="L51" s="18">
        <f t="shared" si="1"/>
        <v>9</v>
      </c>
      <c r="M51" s="18">
        <f t="shared" si="4"/>
        <v>36</v>
      </c>
      <c r="N51" s="18">
        <f t="shared" si="4"/>
        <v>2</v>
      </c>
      <c r="O51" s="18">
        <f t="shared" si="3"/>
        <v>38</v>
      </c>
    </row>
    <row r="52" spans="2:15" ht="27" customHeight="1" x14ac:dyDescent="0.25">
      <c r="B52" s="15" t="s">
        <v>113</v>
      </c>
      <c r="C52" s="16" t="s">
        <v>78</v>
      </c>
      <c r="D52" s="17" t="s">
        <v>79</v>
      </c>
      <c r="E52" s="17" t="s">
        <v>93</v>
      </c>
      <c r="F52" s="18">
        <v>24</v>
      </c>
      <c r="G52" s="18">
        <v>18</v>
      </c>
      <c r="H52" s="18">
        <v>2</v>
      </c>
      <c r="I52" s="18">
        <f t="shared" si="0"/>
        <v>20</v>
      </c>
      <c r="J52" s="18">
        <v>23</v>
      </c>
      <c r="K52" s="18">
        <v>1</v>
      </c>
      <c r="L52" s="18">
        <f t="shared" si="1"/>
        <v>24</v>
      </c>
      <c r="M52" s="18">
        <f t="shared" si="4"/>
        <v>41</v>
      </c>
      <c r="N52" s="18">
        <f t="shared" si="4"/>
        <v>3</v>
      </c>
      <c r="O52" s="18">
        <f t="shared" si="3"/>
        <v>44</v>
      </c>
    </row>
    <row r="53" spans="2:15" s="2" customFormat="1" ht="27" customHeight="1" x14ac:dyDescent="0.25">
      <c r="B53" s="15" t="s">
        <v>83</v>
      </c>
      <c r="C53" s="16" t="s">
        <v>78</v>
      </c>
      <c r="D53" s="17" t="s">
        <v>81</v>
      </c>
      <c r="E53" s="17" t="s">
        <v>93</v>
      </c>
      <c r="F53" s="18">
        <v>20</v>
      </c>
      <c r="G53" s="18">
        <v>4</v>
      </c>
      <c r="H53" s="18">
        <v>10</v>
      </c>
      <c r="I53" s="18">
        <f t="shared" si="0"/>
        <v>14</v>
      </c>
      <c r="J53" s="18">
        <v>3</v>
      </c>
      <c r="K53" s="18">
        <v>7</v>
      </c>
      <c r="L53" s="18">
        <f t="shared" si="1"/>
        <v>10</v>
      </c>
      <c r="M53" s="18">
        <f t="shared" si="4"/>
        <v>7</v>
      </c>
      <c r="N53" s="18">
        <f t="shared" si="4"/>
        <v>17</v>
      </c>
      <c r="O53" s="18">
        <f t="shared" si="3"/>
        <v>24</v>
      </c>
    </row>
    <row r="54" spans="2:15" s="2" customFormat="1" ht="27" customHeight="1" x14ac:dyDescent="0.25">
      <c r="B54" s="15" t="s">
        <v>83</v>
      </c>
      <c r="C54" s="16" t="s">
        <v>78</v>
      </c>
      <c r="D54" s="17" t="s">
        <v>79</v>
      </c>
      <c r="E54" s="17" t="s">
        <v>93</v>
      </c>
      <c r="F54" s="18">
        <v>17</v>
      </c>
      <c r="G54" s="18">
        <v>0</v>
      </c>
      <c r="H54" s="18">
        <v>10</v>
      </c>
      <c r="I54" s="18">
        <f t="shared" si="0"/>
        <v>10</v>
      </c>
      <c r="J54" s="18">
        <v>3</v>
      </c>
      <c r="K54" s="18">
        <v>3</v>
      </c>
      <c r="L54" s="18">
        <f t="shared" si="1"/>
        <v>6</v>
      </c>
      <c r="M54" s="18">
        <f t="shared" si="4"/>
        <v>3</v>
      </c>
      <c r="N54" s="18">
        <f t="shared" si="4"/>
        <v>13</v>
      </c>
      <c r="O54" s="18">
        <f t="shared" si="3"/>
        <v>16</v>
      </c>
    </row>
    <row r="55" spans="2:15" s="2" customFormat="1" ht="27" customHeight="1" x14ac:dyDescent="0.25">
      <c r="B55" s="15" t="s">
        <v>116</v>
      </c>
      <c r="C55" s="16" t="s">
        <v>117</v>
      </c>
      <c r="D55" s="17" t="s">
        <v>81</v>
      </c>
      <c r="E55" s="17" t="s">
        <v>84</v>
      </c>
      <c r="F55" s="18">
        <v>26</v>
      </c>
      <c r="G55" s="18">
        <v>15</v>
      </c>
      <c r="H55" s="18">
        <v>7</v>
      </c>
      <c r="I55" s="18">
        <f t="shared" si="0"/>
        <v>22</v>
      </c>
      <c r="J55" s="18">
        <v>0</v>
      </c>
      <c r="K55" s="18">
        <v>0</v>
      </c>
      <c r="L55" s="18">
        <f t="shared" si="1"/>
        <v>0</v>
      </c>
      <c r="M55" s="18">
        <f t="shared" si="4"/>
        <v>15</v>
      </c>
      <c r="N55" s="18">
        <f t="shared" si="4"/>
        <v>7</v>
      </c>
      <c r="O55" s="18">
        <f t="shared" si="3"/>
        <v>22</v>
      </c>
    </row>
    <row r="56" spans="2:15" s="2" customFormat="1" ht="27" customHeight="1" x14ac:dyDescent="0.25">
      <c r="B56" s="15" t="s">
        <v>116</v>
      </c>
      <c r="C56" s="16" t="s">
        <v>117</v>
      </c>
      <c r="D56" s="17" t="s">
        <v>94</v>
      </c>
      <c r="E56" s="17" t="s">
        <v>84</v>
      </c>
      <c r="F56" s="18">
        <v>24</v>
      </c>
      <c r="G56" s="18">
        <v>17</v>
      </c>
      <c r="H56" s="18">
        <v>11</v>
      </c>
      <c r="I56" s="18">
        <f t="shared" si="0"/>
        <v>28</v>
      </c>
      <c r="J56" s="18">
        <v>17</v>
      </c>
      <c r="K56" s="18">
        <v>12</v>
      </c>
      <c r="L56" s="18">
        <f t="shared" si="1"/>
        <v>29</v>
      </c>
      <c r="M56" s="18">
        <f t="shared" si="4"/>
        <v>34</v>
      </c>
      <c r="N56" s="18">
        <f t="shared" si="4"/>
        <v>23</v>
      </c>
      <c r="O56" s="18">
        <f t="shared" si="3"/>
        <v>57</v>
      </c>
    </row>
    <row r="57" spans="2:15" s="2" customFormat="1" ht="27" customHeight="1" x14ac:dyDescent="0.25">
      <c r="B57" s="15" t="s">
        <v>118</v>
      </c>
      <c r="C57" s="16" t="s">
        <v>117</v>
      </c>
      <c r="D57" s="17" t="s">
        <v>94</v>
      </c>
      <c r="E57" s="17" t="s">
        <v>84</v>
      </c>
      <c r="F57" s="18">
        <v>32</v>
      </c>
      <c r="G57" s="18">
        <v>24</v>
      </c>
      <c r="H57" s="18">
        <v>6</v>
      </c>
      <c r="I57" s="18">
        <f t="shared" si="0"/>
        <v>30</v>
      </c>
      <c r="J57" s="18">
        <v>25</v>
      </c>
      <c r="K57" s="18">
        <v>10</v>
      </c>
      <c r="L57" s="18">
        <f t="shared" si="1"/>
        <v>35</v>
      </c>
      <c r="M57" s="18">
        <f t="shared" si="4"/>
        <v>49</v>
      </c>
      <c r="N57" s="18">
        <f t="shared" si="4"/>
        <v>16</v>
      </c>
      <c r="O57" s="18">
        <f t="shared" si="3"/>
        <v>65</v>
      </c>
    </row>
    <row r="58" spans="2:15" s="2" customFormat="1" ht="27" customHeight="1" x14ac:dyDescent="0.25">
      <c r="B58" s="15" t="s">
        <v>119</v>
      </c>
      <c r="C58" s="16" t="s">
        <v>117</v>
      </c>
      <c r="D58" s="17" t="s">
        <v>81</v>
      </c>
      <c r="E58" s="17" t="s">
        <v>84</v>
      </c>
      <c r="F58" s="18">
        <v>97</v>
      </c>
      <c r="G58" s="18">
        <v>69</v>
      </c>
      <c r="H58" s="18">
        <v>23</v>
      </c>
      <c r="I58" s="18">
        <f t="shared" si="0"/>
        <v>92</v>
      </c>
      <c r="J58" s="18">
        <v>82</v>
      </c>
      <c r="K58" s="18">
        <v>21</v>
      </c>
      <c r="L58" s="18">
        <f t="shared" si="1"/>
        <v>103</v>
      </c>
      <c r="M58" s="18">
        <f t="shared" si="4"/>
        <v>151</v>
      </c>
      <c r="N58" s="18">
        <f t="shared" si="4"/>
        <v>44</v>
      </c>
      <c r="O58" s="18">
        <f t="shared" si="3"/>
        <v>195</v>
      </c>
    </row>
    <row r="59" spans="2:15" s="2" customFormat="1" ht="27" customHeight="1" x14ac:dyDescent="0.25">
      <c r="B59" s="15" t="s">
        <v>119</v>
      </c>
      <c r="C59" s="16" t="s">
        <v>117</v>
      </c>
      <c r="D59" s="17" t="s">
        <v>94</v>
      </c>
      <c r="E59" s="17" t="s">
        <v>84</v>
      </c>
      <c r="F59" s="18">
        <v>88</v>
      </c>
      <c r="G59" s="18">
        <v>73</v>
      </c>
      <c r="H59" s="18">
        <v>13</v>
      </c>
      <c r="I59" s="18">
        <f t="shared" si="0"/>
        <v>86</v>
      </c>
      <c r="J59" s="18">
        <v>69</v>
      </c>
      <c r="K59" s="18">
        <v>16</v>
      </c>
      <c r="L59" s="18">
        <f t="shared" si="1"/>
        <v>85</v>
      </c>
      <c r="M59" s="18">
        <f t="shared" si="4"/>
        <v>142</v>
      </c>
      <c r="N59" s="18">
        <f t="shared" si="4"/>
        <v>29</v>
      </c>
      <c r="O59" s="18">
        <f t="shared" si="3"/>
        <v>171</v>
      </c>
    </row>
    <row r="60" spans="2:15" s="2" customFormat="1" ht="27" customHeight="1" x14ac:dyDescent="0.25">
      <c r="B60" s="15" t="s">
        <v>120</v>
      </c>
      <c r="C60" s="16" t="s">
        <v>117</v>
      </c>
      <c r="D60" s="17" t="s">
        <v>81</v>
      </c>
      <c r="E60" s="17" t="s">
        <v>84</v>
      </c>
      <c r="F60" s="18">
        <v>69</v>
      </c>
      <c r="G60" s="18">
        <v>61</v>
      </c>
      <c r="H60" s="18">
        <v>8</v>
      </c>
      <c r="I60" s="18">
        <f t="shared" si="0"/>
        <v>69</v>
      </c>
      <c r="J60" s="18">
        <v>35</v>
      </c>
      <c r="K60" s="18">
        <v>14</v>
      </c>
      <c r="L60" s="18">
        <f t="shared" si="1"/>
        <v>49</v>
      </c>
      <c r="M60" s="18">
        <f t="shared" si="4"/>
        <v>96</v>
      </c>
      <c r="N60" s="18">
        <f t="shared" si="4"/>
        <v>22</v>
      </c>
      <c r="O60" s="18">
        <f t="shared" si="3"/>
        <v>118</v>
      </c>
    </row>
    <row r="61" spans="2:15" s="2" customFormat="1" ht="27" customHeight="1" x14ac:dyDescent="0.25">
      <c r="B61" s="15" t="s">
        <v>120</v>
      </c>
      <c r="C61" s="16" t="s">
        <v>117</v>
      </c>
      <c r="D61" s="17" t="s">
        <v>94</v>
      </c>
      <c r="E61" s="17" t="s">
        <v>84</v>
      </c>
      <c r="F61" s="18">
        <v>29</v>
      </c>
      <c r="G61" s="18">
        <v>22</v>
      </c>
      <c r="H61" s="18">
        <v>5</v>
      </c>
      <c r="I61" s="18">
        <f t="shared" si="0"/>
        <v>27</v>
      </c>
      <c r="J61" s="18">
        <v>19</v>
      </c>
      <c r="K61" s="18">
        <v>2</v>
      </c>
      <c r="L61" s="18">
        <f t="shared" si="1"/>
        <v>21</v>
      </c>
      <c r="M61" s="18">
        <f t="shared" si="4"/>
        <v>41</v>
      </c>
      <c r="N61" s="18">
        <f t="shared" si="4"/>
        <v>7</v>
      </c>
      <c r="O61" s="18">
        <f t="shared" si="3"/>
        <v>48</v>
      </c>
    </row>
    <row r="62" spans="2:15" ht="27" customHeight="1" x14ac:dyDescent="0.25">
      <c r="B62" s="15" t="s">
        <v>121</v>
      </c>
      <c r="C62" s="16" t="s">
        <v>117</v>
      </c>
      <c r="D62" s="17" t="s">
        <v>81</v>
      </c>
      <c r="E62" s="17" t="s">
        <v>84</v>
      </c>
      <c r="F62" s="18">
        <v>57</v>
      </c>
      <c r="G62" s="18">
        <v>45</v>
      </c>
      <c r="H62" s="18">
        <v>7</v>
      </c>
      <c r="I62" s="18">
        <f t="shared" si="0"/>
        <v>52</v>
      </c>
      <c r="J62" s="18">
        <v>50</v>
      </c>
      <c r="K62" s="18">
        <v>2</v>
      </c>
      <c r="L62" s="18">
        <f t="shared" si="1"/>
        <v>52</v>
      </c>
      <c r="M62" s="18">
        <f t="shared" ref="M62:N82" si="5">+G62+J62</f>
        <v>95</v>
      </c>
      <c r="N62" s="18">
        <f t="shared" si="5"/>
        <v>9</v>
      </c>
      <c r="O62" s="18">
        <f t="shared" si="3"/>
        <v>104</v>
      </c>
    </row>
    <row r="63" spans="2:15" ht="27" customHeight="1" x14ac:dyDescent="0.25">
      <c r="B63" s="15" t="s">
        <v>121</v>
      </c>
      <c r="C63" s="16" t="s">
        <v>117</v>
      </c>
      <c r="D63" s="17" t="s">
        <v>94</v>
      </c>
      <c r="E63" s="17" t="s">
        <v>84</v>
      </c>
      <c r="F63" s="18">
        <v>46</v>
      </c>
      <c r="G63" s="18">
        <v>47</v>
      </c>
      <c r="H63" s="18">
        <v>0</v>
      </c>
      <c r="I63" s="18">
        <f t="shared" si="0"/>
        <v>47</v>
      </c>
      <c r="J63" s="18">
        <v>23</v>
      </c>
      <c r="K63" s="18">
        <v>0</v>
      </c>
      <c r="L63" s="18">
        <f t="shared" si="1"/>
        <v>23</v>
      </c>
      <c r="M63" s="18">
        <f t="shared" si="5"/>
        <v>70</v>
      </c>
      <c r="N63" s="18">
        <f t="shared" si="5"/>
        <v>0</v>
      </c>
      <c r="O63" s="18">
        <f t="shared" si="3"/>
        <v>70</v>
      </c>
    </row>
    <row r="64" spans="2:15" s="2" customFormat="1" ht="27" customHeight="1" x14ac:dyDescent="0.25">
      <c r="B64" s="15" t="s">
        <v>122</v>
      </c>
      <c r="C64" s="16" t="s">
        <v>117</v>
      </c>
      <c r="D64" s="17" t="s">
        <v>81</v>
      </c>
      <c r="E64" s="17" t="s">
        <v>84</v>
      </c>
      <c r="F64" s="18">
        <v>36</v>
      </c>
      <c r="G64" s="18">
        <v>10</v>
      </c>
      <c r="H64" s="18">
        <v>26</v>
      </c>
      <c r="I64" s="18">
        <f t="shared" si="0"/>
        <v>36</v>
      </c>
      <c r="J64" s="18">
        <v>6</v>
      </c>
      <c r="K64" s="18">
        <v>27</v>
      </c>
      <c r="L64" s="18">
        <f t="shared" si="1"/>
        <v>33</v>
      </c>
      <c r="M64" s="18">
        <f t="shared" si="5"/>
        <v>16</v>
      </c>
      <c r="N64" s="18">
        <f t="shared" si="5"/>
        <v>53</v>
      </c>
      <c r="O64" s="18">
        <f t="shared" si="3"/>
        <v>69</v>
      </c>
    </row>
    <row r="65" spans="2:15" s="2" customFormat="1" ht="27" customHeight="1" x14ac:dyDescent="0.25">
      <c r="B65" s="15" t="s">
        <v>122</v>
      </c>
      <c r="C65" s="16" t="s">
        <v>117</v>
      </c>
      <c r="D65" s="17" t="s">
        <v>94</v>
      </c>
      <c r="E65" s="17" t="s">
        <v>84</v>
      </c>
      <c r="F65" s="18">
        <v>35</v>
      </c>
      <c r="G65" s="18">
        <v>12</v>
      </c>
      <c r="H65" s="18">
        <v>22</v>
      </c>
      <c r="I65" s="18">
        <f t="shared" si="0"/>
        <v>34</v>
      </c>
      <c r="J65" s="18">
        <v>10</v>
      </c>
      <c r="K65" s="18">
        <v>20</v>
      </c>
      <c r="L65" s="18">
        <f t="shared" si="1"/>
        <v>30</v>
      </c>
      <c r="M65" s="18">
        <f t="shared" si="5"/>
        <v>22</v>
      </c>
      <c r="N65" s="18">
        <f t="shared" si="5"/>
        <v>42</v>
      </c>
      <c r="O65" s="18">
        <f t="shared" si="3"/>
        <v>64</v>
      </c>
    </row>
    <row r="66" spans="2:15" s="2" customFormat="1" ht="27" customHeight="1" x14ac:dyDescent="0.25">
      <c r="B66" s="15" t="s">
        <v>123</v>
      </c>
      <c r="C66" s="16" t="s">
        <v>117</v>
      </c>
      <c r="D66" s="17" t="s">
        <v>81</v>
      </c>
      <c r="E66" s="17" t="s">
        <v>84</v>
      </c>
      <c r="F66" s="18">
        <v>19</v>
      </c>
      <c r="G66" s="18">
        <v>11</v>
      </c>
      <c r="H66" s="18">
        <v>8</v>
      </c>
      <c r="I66" s="18">
        <f t="shared" si="0"/>
        <v>19</v>
      </c>
      <c r="J66" s="18">
        <v>12</v>
      </c>
      <c r="K66" s="18">
        <v>6</v>
      </c>
      <c r="L66" s="18">
        <f t="shared" si="1"/>
        <v>18</v>
      </c>
      <c r="M66" s="18">
        <f t="shared" si="5"/>
        <v>23</v>
      </c>
      <c r="N66" s="18">
        <f t="shared" si="5"/>
        <v>14</v>
      </c>
      <c r="O66" s="18">
        <f t="shared" si="3"/>
        <v>37</v>
      </c>
    </row>
    <row r="67" spans="2:15" s="2" customFormat="1" ht="27" customHeight="1" x14ac:dyDescent="0.25">
      <c r="B67" s="15" t="s">
        <v>123</v>
      </c>
      <c r="C67" s="16" t="s">
        <v>117</v>
      </c>
      <c r="D67" s="17" t="s">
        <v>94</v>
      </c>
      <c r="E67" s="17" t="s">
        <v>84</v>
      </c>
      <c r="F67" s="18">
        <v>8</v>
      </c>
      <c r="G67" s="18">
        <v>7</v>
      </c>
      <c r="H67" s="18">
        <v>1</v>
      </c>
      <c r="I67" s="18">
        <f>SUM(G67:H67)</f>
        <v>8</v>
      </c>
      <c r="J67" s="18">
        <v>4</v>
      </c>
      <c r="K67" s="18">
        <v>2</v>
      </c>
      <c r="L67" s="18">
        <f>SUM(J67:K67)</f>
        <v>6</v>
      </c>
      <c r="M67" s="18">
        <f>+G67+J67</f>
        <v>11</v>
      </c>
      <c r="N67" s="18">
        <f>+H67+K67</f>
        <v>3</v>
      </c>
      <c r="O67" s="18">
        <f>SUM(M67:N67)</f>
        <v>14</v>
      </c>
    </row>
    <row r="68" spans="2:15" s="2" customFormat="1" ht="27" customHeight="1" x14ac:dyDescent="0.25">
      <c r="B68" s="15" t="s">
        <v>124</v>
      </c>
      <c r="C68" s="16" t="s">
        <v>117</v>
      </c>
      <c r="D68" s="17" t="s">
        <v>81</v>
      </c>
      <c r="E68" s="17" t="s">
        <v>84</v>
      </c>
      <c r="F68" s="18">
        <v>16</v>
      </c>
      <c r="G68" s="18">
        <v>11</v>
      </c>
      <c r="H68" s="18">
        <v>5</v>
      </c>
      <c r="I68" s="18">
        <f t="shared" ref="I68:I76" si="6">SUM(G68:H68)</f>
        <v>16</v>
      </c>
      <c r="J68" s="18">
        <v>5</v>
      </c>
      <c r="K68" s="18">
        <v>6</v>
      </c>
      <c r="L68" s="18">
        <f t="shared" si="1"/>
        <v>11</v>
      </c>
      <c r="M68" s="18">
        <f t="shared" si="5"/>
        <v>16</v>
      </c>
      <c r="N68" s="18">
        <f t="shared" si="5"/>
        <v>11</v>
      </c>
      <c r="O68" s="18">
        <f t="shared" si="3"/>
        <v>27</v>
      </c>
    </row>
    <row r="69" spans="2:15" s="2" customFormat="1" ht="27" customHeight="1" x14ac:dyDescent="0.25">
      <c r="B69" s="15" t="s">
        <v>124</v>
      </c>
      <c r="C69" s="16" t="s">
        <v>117</v>
      </c>
      <c r="D69" s="17" t="s">
        <v>94</v>
      </c>
      <c r="E69" s="17" t="s">
        <v>84</v>
      </c>
      <c r="F69" s="18">
        <v>11</v>
      </c>
      <c r="G69" s="18">
        <v>7</v>
      </c>
      <c r="H69" s="18">
        <v>4</v>
      </c>
      <c r="I69" s="18">
        <f>SUM(G69:H69)</f>
        <v>11</v>
      </c>
      <c r="J69" s="18">
        <v>9</v>
      </c>
      <c r="K69" s="18">
        <v>4</v>
      </c>
      <c r="L69" s="18">
        <f>SUM(J69:K69)</f>
        <v>13</v>
      </c>
      <c r="M69" s="18">
        <f>+G69+J69</f>
        <v>16</v>
      </c>
      <c r="N69" s="18">
        <f>+H69+K69</f>
        <v>8</v>
      </c>
      <c r="O69" s="18">
        <f>SUM(M69:N69)</f>
        <v>24</v>
      </c>
    </row>
    <row r="70" spans="2:15" ht="27" customHeight="1" x14ac:dyDescent="0.25">
      <c r="B70" s="15" t="s">
        <v>125</v>
      </c>
      <c r="C70" s="16" t="s">
        <v>117</v>
      </c>
      <c r="D70" s="17" t="s">
        <v>81</v>
      </c>
      <c r="E70" s="17" t="s">
        <v>84</v>
      </c>
      <c r="F70" s="18">
        <v>15</v>
      </c>
      <c r="G70" s="18">
        <v>7</v>
      </c>
      <c r="H70" s="18">
        <v>8</v>
      </c>
      <c r="I70" s="18">
        <f t="shared" si="6"/>
        <v>15</v>
      </c>
      <c r="J70" s="18">
        <v>11</v>
      </c>
      <c r="K70" s="18">
        <v>5</v>
      </c>
      <c r="L70" s="18">
        <f t="shared" ref="L70:L76" si="7">SUM(J70:K70)</f>
        <v>16</v>
      </c>
      <c r="M70" s="18">
        <f t="shared" ref="M70:N76" si="8">+G70+J70</f>
        <v>18</v>
      </c>
      <c r="N70" s="18">
        <f t="shared" si="8"/>
        <v>13</v>
      </c>
      <c r="O70" s="18">
        <f t="shared" ref="O70:O76" si="9">SUM(M70:N70)</f>
        <v>31</v>
      </c>
    </row>
    <row r="71" spans="2:15" ht="27" customHeight="1" x14ac:dyDescent="0.25">
      <c r="B71" s="15" t="s">
        <v>125</v>
      </c>
      <c r="C71" s="16" t="s">
        <v>117</v>
      </c>
      <c r="D71" s="17" t="s">
        <v>94</v>
      </c>
      <c r="E71" s="17" t="s">
        <v>84</v>
      </c>
      <c r="F71" s="18">
        <v>9</v>
      </c>
      <c r="G71" s="18">
        <v>3</v>
      </c>
      <c r="H71" s="18">
        <v>5</v>
      </c>
      <c r="I71" s="18">
        <f>SUM(G71:H71)</f>
        <v>8</v>
      </c>
      <c r="J71" s="18">
        <v>4</v>
      </c>
      <c r="K71" s="18">
        <v>3</v>
      </c>
      <c r="L71" s="18">
        <f>SUM(J71:K71)</f>
        <v>7</v>
      </c>
      <c r="M71" s="18">
        <f>+G71+J71</f>
        <v>7</v>
      </c>
      <c r="N71" s="18">
        <f>+H71+K71</f>
        <v>8</v>
      </c>
      <c r="O71" s="18">
        <f>SUM(M71:N71)</f>
        <v>15</v>
      </c>
    </row>
    <row r="72" spans="2:15" ht="27" customHeight="1" x14ac:dyDescent="0.25">
      <c r="B72" s="15" t="s">
        <v>126</v>
      </c>
      <c r="C72" s="16" t="s">
        <v>117</v>
      </c>
      <c r="D72" s="17" t="s">
        <v>81</v>
      </c>
      <c r="E72" s="17" t="s">
        <v>84</v>
      </c>
      <c r="F72" s="18">
        <v>0</v>
      </c>
      <c r="G72" s="18">
        <v>0</v>
      </c>
      <c r="H72" s="18">
        <v>0</v>
      </c>
      <c r="I72" s="18">
        <f>SUM(G72:H72)</f>
        <v>0</v>
      </c>
      <c r="J72" s="18">
        <v>1</v>
      </c>
      <c r="K72" s="18">
        <v>0</v>
      </c>
      <c r="L72" s="18">
        <f>SUM(J72:K72)</f>
        <v>1</v>
      </c>
      <c r="M72" s="18">
        <f>+G72+J72</f>
        <v>1</v>
      </c>
      <c r="N72" s="18">
        <f>+H72+K72</f>
        <v>0</v>
      </c>
      <c r="O72" s="18">
        <f>SUM(M72:N72)</f>
        <v>1</v>
      </c>
    </row>
    <row r="73" spans="2:15" ht="27" customHeight="1" x14ac:dyDescent="0.25">
      <c r="B73" s="15" t="s">
        <v>127</v>
      </c>
      <c r="C73" s="16" t="s">
        <v>117</v>
      </c>
      <c r="D73" s="17" t="s">
        <v>81</v>
      </c>
      <c r="E73" s="17" t="s">
        <v>84</v>
      </c>
      <c r="F73" s="18">
        <v>36</v>
      </c>
      <c r="G73" s="18">
        <v>9</v>
      </c>
      <c r="H73" s="18">
        <v>26</v>
      </c>
      <c r="I73" s="18">
        <f t="shared" si="6"/>
        <v>35</v>
      </c>
      <c r="J73" s="18">
        <v>4</v>
      </c>
      <c r="K73" s="18">
        <v>12</v>
      </c>
      <c r="L73" s="18">
        <f t="shared" si="7"/>
        <v>16</v>
      </c>
      <c r="M73" s="18">
        <f t="shared" si="8"/>
        <v>13</v>
      </c>
      <c r="N73" s="18">
        <f t="shared" si="8"/>
        <v>38</v>
      </c>
      <c r="O73" s="18">
        <f t="shared" si="9"/>
        <v>51</v>
      </c>
    </row>
    <row r="74" spans="2:15" s="2" customFormat="1" ht="27" customHeight="1" x14ac:dyDescent="0.25">
      <c r="B74" s="15" t="s">
        <v>128</v>
      </c>
      <c r="C74" s="16" t="s">
        <v>117</v>
      </c>
      <c r="D74" s="17" t="s">
        <v>81</v>
      </c>
      <c r="E74" s="17" t="s">
        <v>84</v>
      </c>
      <c r="F74" s="18">
        <v>76</v>
      </c>
      <c r="G74" s="18">
        <v>30</v>
      </c>
      <c r="H74" s="18">
        <v>43</v>
      </c>
      <c r="I74" s="18">
        <f t="shared" si="6"/>
        <v>73</v>
      </c>
      <c r="J74" s="18">
        <v>28</v>
      </c>
      <c r="K74" s="18">
        <v>43</v>
      </c>
      <c r="L74" s="18">
        <f t="shared" si="7"/>
        <v>71</v>
      </c>
      <c r="M74" s="18">
        <f t="shared" si="8"/>
        <v>58</v>
      </c>
      <c r="N74" s="18">
        <f t="shared" si="8"/>
        <v>86</v>
      </c>
      <c r="O74" s="18">
        <f t="shared" si="9"/>
        <v>144</v>
      </c>
    </row>
    <row r="75" spans="2:15" s="2" customFormat="1" ht="27" customHeight="1" x14ac:dyDescent="0.25">
      <c r="B75" s="15" t="s">
        <v>128</v>
      </c>
      <c r="C75" s="16" t="s">
        <v>117</v>
      </c>
      <c r="D75" s="17" t="s">
        <v>94</v>
      </c>
      <c r="E75" s="17" t="s">
        <v>84</v>
      </c>
      <c r="F75" s="18">
        <v>28</v>
      </c>
      <c r="G75" s="18">
        <v>9</v>
      </c>
      <c r="H75" s="18">
        <v>19</v>
      </c>
      <c r="I75" s="18">
        <f t="shared" si="6"/>
        <v>28</v>
      </c>
      <c r="J75" s="18">
        <v>12</v>
      </c>
      <c r="K75" s="18">
        <v>9</v>
      </c>
      <c r="L75" s="18">
        <f t="shared" si="7"/>
        <v>21</v>
      </c>
      <c r="M75" s="18">
        <f t="shared" si="8"/>
        <v>21</v>
      </c>
      <c r="N75" s="18">
        <f t="shared" si="8"/>
        <v>28</v>
      </c>
      <c r="O75" s="18">
        <f t="shared" si="9"/>
        <v>49</v>
      </c>
    </row>
    <row r="76" spans="2:15" s="2" customFormat="1" ht="27" customHeight="1" x14ac:dyDescent="0.25">
      <c r="B76" s="15" t="s">
        <v>129</v>
      </c>
      <c r="C76" s="16" t="s">
        <v>117</v>
      </c>
      <c r="D76" s="17" t="s">
        <v>81</v>
      </c>
      <c r="E76" s="17" t="s">
        <v>84</v>
      </c>
      <c r="F76" s="18">
        <v>111</v>
      </c>
      <c r="G76" s="18">
        <v>28</v>
      </c>
      <c r="H76" s="18">
        <v>81</v>
      </c>
      <c r="I76" s="18">
        <f t="shared" si="6"/>
        <v>109</v>
      </c>
      <c r="J76" s="18">
        <v>19</v>
      </c>
      <c r="K76" s="18">
        <v>65</v>
      </c>
      <c r="L76" s="18">
        <f t="shared" si="7"/>
        <v>84</v>
      </c>
      <c r="M76" s="18">
        <f t="shared" si="8"/>
        <v>47</v>
      </c>
      <c r="N76" s="18">
        <f t="shared" si="8"/>
        <v>146</v>
      </c>
      <c r="O76" s="18">
        <f t="shared" si="9"/>
        <v>193</v>
      </c>
    </row>
    <row r="77" spans="2:15" s="2" customFormat="1" ht="27" customHeight="1" x14ac:dyDescent="0.25">
      <c r="B77" s="15" t="s">
        <v>129</v>
      </c>
      <c r="C77" s="16" t="s">
        <v>117</v>
      </c>
      <c r="D77" s="17" t="s">
        <v>94</v>
      </c>
      <c r="E77" s="17" t="s">
        <v>84</v>
      </c>
      <c r="F77" s="18">
        <v>51</v>
      </c>
      <c r="G77" s="18">
        <v>7</v>
      </c>
      <c r="H77" s="18">
        <v>45</v>
      </c>
      <c r="I77" s="18">
        <f t="shared" si="0"/>
        <v>52</v>
      </c>
      <c r="J77" s="18">
        <v>8</v>
      </c>
      <c r="K77" s="18">
        <v>28</v>
      </c>
      <c r="L77" s="18">
        <f t="shared" si="1"/>
        <v>36</v>
      </c>
      <c r="M77" s="18">
        <f t="shared" si="5"/>
        <v>15</v>
      </c>
      <c r="N77" s="18">
        <f t="shared" si="5"/>
        <v>73</v>
      </c>
      <c r="O77" s="18">
        <f t="shared" si="3"/>
        <v>88</v>
      </c>
    </row>
    <row r="78" spans="2:15" s="2" customFormat="1" ht="27" customHeight="1" x14ac:dyDescent="0.25">
      <c r="B78" s="15" t="s">
        <v>130</v>
      </c>
      <c r="C78" s="16" t="s">
        <v>117</v>
      </c>
      <c r="D78" s="17" t="s">
        <v>81</v>
      </c>
      <c r="E78" s="17" t="s">
        <v>84</v>
      </c>
      <c r="F78" s="18">
        <v>115</v>
      </c>
      <c r="G78" s="18">
        <v>42</v>
      </c>
      <c r="H78" s="18">
        <v>70</v>
      </c>
      <c r="I78" s="18">
        <f t="shared" si="0"/>
        <v>112</v>
      </c>
      <c r="J78" s="18">
        <v>26</v>
      </c>
      <c r="K78" s="18">
        <v>81</v>
      </c>
      <c r="L78" s="18">
        <f t="shared" ref="L78:L90" si="10">SUM(J78:K78)</f>
        <v>107</v>
      </c>
      <c r="M78" s="18">
        <f t="shared" si="5"/>
        <v>68</v>
      </c>
      <c r="N78" s="18">
        <f t="shared" si="5"/>
        <v>151</v>
      </c>
      <c r="O78" s="18">
        <f t="shared" ref="O78:O90" si="11">SUM(M78:N78)</f>
        <v>219</v>
      </c>
    </row>
    <row r="79" spans="2:15" s="2" customFormat="1" ht="27" customHeight="1" x14ac:dyDescent="0.25">
      <c r="B79" s="15" t="s">
        <v>130</v>
      </c>
      <c r="C79" s="16" t="s">
        <v>117</v>
      </c>
      <c r="D79" s="17" t="s">
        <v>94</v>
      </c>
      <c r="E79" s="17" t="s">
        <v>84</v>
      </c>
      <c r="F79" s="18">
        <v>70</v>
      </c>
      <c r="G79" s="18">
        <v>14</v>
      </c>
      <c r="H79" s="18">
        <v>48</v>
      </c>
      <c r="I79" s="18">
        <f t="shared" si="0"/>
        <v>62</v>
      </c>
      <c r="J79" s="18">
        <v>22</v>
      </c>
      <c r="K79" s="18">
        <v>60</v>
      </c>
      <c r="L79" s="18">
        <f t="shared" si="10"/>
        <v>82</v>
      </c>
      <c r="M79" s="18">
        <f t="shared" si="5"/>
        <v>36</v>
      </c>
      <c r="N79" s="18">
        <f t="shared" si="5"/>
        <v>108</v>
      </c>
      <c r="O79" s="18">
        <f t="shared" si="11"/>
        <v>144</v>
      </c>
    </row>
    <row r="80" spans="2:15" s="2" customFormat="1" ht="27" customHeight="1" x14ac:dyDescent="0.25">
      <c r="B80" s="15" t="s">
        <v>121</v>
      </c>
      <c r="C80" s="16" t="s">
        <v>117</v>
      </c>
      <c r="D80" s="17" t="s">
        <v>81</v>
      </c>
      <c r="E80" s="17" t="s">
        <v>93</v>
      </c>
      <c r="F80" s="18">
        <v>15</v>
      </c>
      <c r="G80" s="18">
        <v>15</v>
      </c>
      <c r="H80" s="18">
        <v>0</v>
      </c>
      <c r="I80" s="18">
        <f t="shared" si="0"/>
        <v>15</v>
      </c>
      <c r="J80" s="18">
        <v>13</v>
      </c>
      <c r="K80" s="18">
        <v>1</v>
      </c>
      <c r="L80" s="18">
        <f t="shared" si="10"/>
        <v>14</v>
      </c>
      <c r="M80" s="18">
        <f t="shared" si="5"/>
        <v>28</v>
      </c>
      <c r="N80" s="18">
        <f t="shared" si="5"/>
        <v>1</v>
      </c>
      <c r="O80" s="18">
        <f t="shared" si="11"/>
        <v>29</v>
      </c>
    </row>
    <row r="81" spans="1:19" s="2" customFormat="1" ht="27" customHeight="1" x14ac:dyDescent="0.25">
      <c r="B81" s="15" t="s">
        <v>121</v>
      </c>
      <c r="C81" s="16" t="s">
        <v>117</v>
      </c>
      <c r="D81" s="17" t="s">
        <v>94</v>
      </c>
      <c r="E81" s="17" t="s">
        <v>93</v>
      </c>
      <c r="F81" s="18">
        <v>10</v>
      </c>
      <c r="G81" s="18">
        <v>10</v>
      </c>
      <c r="H81" s="18">
        <v>0</v>
      </c>
      <c r="I81" s="18">
        <f t="shared" si="0"/>
        <v>10</v>
      </c>
      <c r="J81" s="18">
        <v>16</v>
      </c>
      <c r="K81" s="18">
        <v>0</v>
      </c>
      <c r="L81" s="18">
        <f t="shared" si="10"/>
        <v>16</v>
      </c>
      <c r="M81" s="18">
        <f t="shared" si="5"/>
        <v>26</v>
      </c>
      <c r="N81" s="18">
        <f t="shared" si="5"/>
        <v>0</v>
      </c>
      <c r="O81" s="18">
        <f t="shared" si="11"/>
        <v>26</v>
      </c>
    </row>
    <row r="82" spans="1:19" s="2" customFormat="1" ht="27" customHeight="1" x14ac:dyDescent="0.25">
      <c r="B82" s="15" t="s">
        <v>119</v>
      </c>
      <c r="C82" s="16" t="s">
        <v>117</v>
      </c>
      <c r="D82" s="17" t="s">
        <v>81</v>
      </c>
      <c r="E82" s="17" t="s">
        <v>93</v>
      </c>
      <c r="F82" s="18">
        <v>18</v>
      </c>
      <c r="G82" s="18">
        <v>10</v>
      </c>
      <c r="H82" s="18">
        <v>6</v>
      </c>
      <c r="I82" s="18">
        <f t="shared" si="0"/>
        <v>16</v>
      </c>
      <c r="J82" s="18">
        <v>4</v>
      </c>
      <c r="K82" s="18">
        <v>3</v>
      </c>
      <c r="L82" s="18">
        <f t="shared" si="10"/>
        <v>7</v>
      </c>
      <c r="M82" s="18">
        <f t="shared" si="5"/>
        <v>14</v>
      </c>
      <c r="N82" s="18">
        <f t="shared" si="5"/>
        <v>9</v>
      </c>
      <c r="O82" s="18">
        <f t="shared" si="11"/>
        <v>23</v>
      </c>
    </row>
    <row r="83" spans="1:19" s="2" customFormat="1" ht="27" customHeight="1" x14ac:dyDescent="0.25">
      <c r="B83" s="15" t="s">
        <v>119</v>
      </c>
      <c r="C83" s="16" t="s">
        <v>117</v>
      </c>
      <c r="D83" s="17" t="s">
        <v>94</v>
      </c>
      <c r="E83" s="17" t="s">
        <v>93</v>
      </c>
      <c r="F83" s="18">
        <v>22</v>
      </c>
      <c r="G83" s="18">
        <v>19</v>
      </c>
      <c r="H83" s="18">
        <v>2</v>
      </c>
      <c r="I83" s="18">
        <f t="shared" si="0"/>
        <v>21</v>
      </c>
      <c r="J83" s="18">
        <v>33</v>
      </c>
      <c r="K83" s="18">
        <v>9</v>
      </c>
      <c r="L83" s="18">
        <f t="shared" si="10"/>
        <v>42</v>
      </c>
      <c r="M83" s="18">
        <f t="shared" ref="M83:N90" si="12">+G83+J83</f>
        <v>52</v>
      </c>
      <c r="N83" s="18">
        <f t="shared" si="12"/>
        <v>11</v>
      </c>
      <c r="O83" s="18">
        <f t="shared" si="11"/>
        <v>63</v>
      </c>
    </row>
    <row r="84" spans="1:19" s="2" customFormat="1" ht="27" customHeight="1" x14ac:dyDescent="0.25">
      <c r="B84" s="15" t="s">
        <v>127</v>
      </c>
      <c r="C84" s="16" t="s">
        <v>117</v>
      </c>
      <c r="D84" s="17" t="s">
        <v>94</v>
      </c>
      <c r="E84" s="17" t="s">
        <v>93</v>
      </c>
      <c r="F84" s="18">
        <v>0</v>
      </c>
      <c r="G84" s="18">
        <v>0</v>
      </c>
      <c r="H84" s="18">
        <v>0</v>
      </c>
      <c r="I84" s="18">
        <f>SUM(G84:H84)</f>
        <v>0</v>
      </c>
      <c r="J84" s="18">
        <v>5</v>
      </c>
      <c r="K84" s="18">
        <v>5</v>
      </c>
      <c r="L84" s="18">
        <f t="shared" si="10"/>
        <v>10</v>
      </c>
      <c r="M84" s="18">
        <f t="shared" si="12"/>
        <v>5</v>
      </c>
      <c r="N84" s="18">
        <f t="shared" si="12"/>
        <v>5</v>
      </c>
      <c r="O84" s="18">
        <f t="shared" si="11"/>
        <v>10</v>
      </c>
    </row>
    <row r="85" spans="1:19" s="2" customFormat="1" ht="25.5" customHeight="1" x14ac:dyDescent="0.25">
      <c r="B85" s="15" t="s">
        <v>128</v>
      </c>
      <c r="C85" s="16" t="s">
        <v>117</v>
      </c>
      <c r="D85" s="17" t="s">
        <v>81</v>
      </c>
      <c r="E85" s="17" t="s">
        <v>93</v>
      </c>
      <c r="F85" s="18">
        <v>26</v>
      </c>
      <c r="G85" s="18">
        <v>11</v>
      </c>
      <c r="H85" s="18">
        <v>13</v>
      </c>
      <c r="I85" s="18">
        <f t="shared" si="0"/>
        <v>24</v>
      </c>
      <c r="J85" s="18">
        <v>7</v>
      </c>
      <c r="K85" s="18">
        <v>8</v>
      </c>
      <c r="L85" s="18">
        <f t="shared" si="10"/>
        <v>15</v>
      </c>
      <c r="M85" s="18">
        <f t="shared" si="12"/>
        <v>18</v>
      </c>
      <c r="N85" s="18">
        <f t="shared" si="12"/>
        <v>21</v>
      </c>
      <c r="O85" s="18">
        <f t="shared" si="11"/>
        <v>39</v>
      </c>
    </row>
    <row r="86" spans="1:19" s="2" customFormat="1" ht="25.5" customHeight="1" x14ac:dyDescent="0.25">
      <c r="B86" s="15" t="s">
        <v>128</v>
      </c>
      <c r="C86" s="16" t="s">
        <v>117</v>
      </c>
      <c r="D86" s="17" t="s">
        <v>94</v>
      </c>
      <c r="E86" s="17" t="s">
        <v>93</v>
      </c>
      <c r="F86" s="18">
        <v>0</v>
      </c>
      <c r="G86" s="18">
        <v>0</v>
      </c>
      <c r="H86" s="18">
        <v>0</v>
      </c>
      <c r="I86" s="18">
        <f>SUM(G86:H86)</f>
        <v>0</v>
      </c>
      <c r="J86" s="18">
        <v>7</v>
      </c>
      <c r="K86" s="18">
        <v>7</v>
      </c>
      <c r="L86" s="18">
        <f t="shared" si="10"/>
        <v>14</v>
      </c>
      <c r="M86" s="18">
        <f t="shared" si="12"/>
        <v>7</v>
      </c>
      <c r="N86" s="18">
        <f t="shared" si="12"/>
        <v>7</v>
      </c>
      <c r="O86" s="18">
        <f t="shared" si="11"/>
        <v>14</v>
      </c>
    </row>
    <row r="87" spans="1:19" s="2" customFormat="1" ht="25.5" customHeight="1" x14ac:dyDescent="0.25">
      <c r="B87" s="15" t="s">
        <v>129</v>
      </c>
      <c r="C87" s="16" t="s">
        <v>117</v>
      </c>
      <c r="D87" s="17" t="s">
        <v>81</v>
      </c>
      <c r="E87" s="17" t="s">
        <v>93</v>
      </c>
      <c r="F87" s="18">
        <v>10</v>
      </c>
      <c r="G87" s="18">
        <v>1</v>
      </c>
      <c r="H87" s="18">
        <v>8</v>
      </c>
      <c r="I87" s="18">
        <f t="shared" si="0"/>
        <v>9</v>
      </c>
      <c r="J87" s="18">
        <v>0</v>
      </c>
      <c r="K87" s="18">
        <v>0</v>
      </c>
      <c r="L87" s="18">
        <f t="shared" si="10"/>
        <v>0</v>
      </c>
      <c r="M87" s="18">
        <f t="shared" si="12"/>
        <v>1</v>
      </c>
      <c r="N87" s="18">
        <f t="shared" si="12"/>
        <v>8</v>
      </c>
      <c r="O87" s="18">
        <f t="shared" si="11"/>
        <v>9</v>
      </c>
    </row>
    <row r="88" spans="1:19" s="2" customFormat="1" ht="23.25" customHeight="1" x14ac:dyDescent="0.25">
      <c r="B88" s="15" t="s">
        <v>129</v>
      </c>
      <c r="C88" s="16" t="s">
        <v>117</v>
      </c>
      <c r="D88" s="17" t="s">
        <v>81</v>
      </c>
      <c r="E88" s="17" t="s">
        <v>93</v>
      </c>
      <c r="F88" s="18">
        <v>0</v>
      </c>
      <c r="G88" s="18">
        <v>0</v>
      </c>
      <c r="H88" s="18">
        <v>0</v>
      </c>
      <c r="I88" s="18">
        <f t="shared" si="0"/>
        <v>0</v>
      </c>
      <c r="J88" s="18">
        <v>6</v>
      </c>
      <c r="K88" s="18">
        <v>17</v>
      </c>
      <c r="L88" s="18">
        <f t="shared" si="10"/>
        <v>23</v>
      </c>
      <c r="M88" s="18">
        <f t="shared" si="12"/>
        <v>6</v>
      </c>
      <c r="N88" s="18">
        <f t="shared" si="12"/>
        <v>17</v>
      </c>
      <c r="O88" s="18">
        <f t="shared" si="11"/>
        <v>23</v>
      </c>
    </row>
    <row r="89" spans="1:19" s="2" customFormat="1" ht="23.25" customHeight="1" x14ac:dyDescent="0.25">
      <c r="B89" s="15"/>
      <c r="C89" s="16"/>
      <c r="D89" s="17"/>
      <c r="E89" s="17"/>
      <c r="F89" s="18"/>
      <c r="G89" s="18"/>
      <c r="H89" s="18"/>
      <c r="I89" s="18">
        <f t="shared" si="0"/>
        <v>0</v>
      </c>
      <c r="J89" s="18"/>
      <c r="K89" s="18"/>
      <c r="L89" s="18">
        <f t="shared" si="10"/>
        <v>0</v>
      </c>
      <c r="M89" s="18">
        <f t="shared" si="12"/>
        <v>0</v>
      </c>
      <c r="N89" s="18">
        <f t="shared" si="12"/>
        <v>0</v>
      </c>
      <c r="O89" s="18">
        <f t="shared" si="11"/>
        <v>0</v>
      </c>
    </row>
    <row r="90" spans="1:19" ht="23.25" customHeight="1" x14ac:dyDescent="0.25">
      <c r="B90" s="19"/>
      <c r="C90" s="7"/>
      <c r="D90" s="7"/>
      <c r="E90" s="7"/>
      <c r="F90" s="18"/>
      <c r="G90" s="18"/>
      <c r="H90" s="18"/>
      <c r="I90" s="18">
        <f t="shared" si="0"/>
        <v>0</v>
      </c>
      <c r="J90" s="18"/>
      <c r="K90" s="18"/>
      <c r="L90" s="18">
        <f t="shared" si="10"/>
        <v>0</v>
      </c>
      <c r="M90" s="18">
        <f t="shared" si="12"/>
        <v>0</v>
      </c>
      <c r="N90" s="18">
        <f t="shared" si="12"/>
        <v>0</v>
      </c>
      <c r="O90" s="18">
        <f t="shared" si="11"/>
        <v>0</v>
      </c>
    </row>
    <row r="91" spans="1:19" ht="39" customHeight="1" x14ac:dyDescent="0.25">
      <c r="B91" s="145" t="s">
        <v>95</v>
      </c>
      <c r="C91" s="145"/>
      <c r="D91" s="145"/>
      <c r="E91" s="12"/>
      <c r="F91" s="20">
        <f t="shared" ref="F91:O91" si="13">SUM(F13:F90)</f>
        <v>4013</v>
      </c>
      <c r="G91" s="20">
        <f t="shared" si="13"/>
        <v>1733</v>
      </c>
      <c r="H91" s="20">
        <f t="shared" si="13"/>
        <v>1419</v>
      </c>
      <c r="I91" s="20">
        <f>SUM(I13:I90)</f>
        <v>3152</v>
      </c>
      <c r="J91" s="20">
        <f>SUM(J13:J90)</f>
        <v>1528</v>
      </c>
      <c r="K91" s="20">
        <f>SUM(K13:K90)</f>
        <v>1241</v>
      </c>
      <c r="L91" s="20">
        <f t="shared" si="13"/>
        <v>2769</v>
      </c>
      <c r="M91" s="20">
        <f t="shared" si="13"/>
        <v>3261</v>
      </c>
      <c r="N91" s="20">
        <f t="shared" si="13"/>
        <v>2660</v>
      </c>
      <c r="O91" s="20">
        <f t="shared" si="13"/>
        <v>5921</v>
      </c>
    </row>
    <row r="92" spans="1:19" ht="30.75" customHeight="1" x14ac:dyDescent="0.25">
      <c r="B92" s="2"/>
      <c r="C92" s="2"/>
      <c r="D92" s="2"/>
      <c r="E92" s="2"/>
      <c r="F92" s="2"/>
      <c r="H92" s="2"/>
      <c r="I92" s="2"/>
      <c r="L92" s="2"/>
      <c r="M92" s="2"/>
      <c r="N92" s="2"/>
      <c r="O92" s="2"/>
    </row>
    <row r="93" spans="1:19" s="10" customFormat="1" ht="74.25" customHeight="1" x14ac:dyDescent="0.2">
      <c r="A93" s="8"/>
      <c r="B93" s="21" t="s">
        <v>96</v>
      </c>
      <c r="C93" s="22"/>
      <c r="D93" s="9"/>
      <c r="I93" s="1"/>
      <c r="J93" s="23"/>
      <c r="K93" s="24"/>
      <c r="L93" s="146" t="s">
        <v>131</v>
      </c>
      <c r="M93" s="147"/>
      <c r="N93" s="147"/>
      <c r="O93" s="147"/>
      <c r="S93" s="10" t="s">
        <v>97</v>
      </c>
    </row>
    <row r="94" spans="1:19" s="10" customFormat="1" ht="13.5" customHeight="1" x14ac:dyDescent="0.25">
      <c r="A94" s="8"/>
      <c r="B94" s="25"/>
      <c r="F94" s="148"/>
      <c r="G94" s="148"/>
      <c r="H94" s="148"/>
      <c r="I94" s="148"/>
      <c r="J94" s="26"/>
      <c r="K94" s="26"/>
    </row>
    <row r="95" spans="1:19" s="32" customFormat="1" ht="40.950000000000003" customHeight="1" x14ac:dyDescent="0.25">
      <c r="A95" s="27"/>
      <c r="B95" s="28" t="s">
        <v>132</v>
      </c>
      <c r="C95" s="29"/>
      <c r="D95" s="30"/>
      <c r="E95" s="30"/>
      <c r="F95" s="30"/>
      <c r="G95" s="31"/>
      <c r="H95" s="149"/>
      <c r="I95" s="150"/>
      <c r="J95" s="149"/>
      <c r="K95" s="150"/>
      <c r="L95" s="151" t="s">
        <v>133</v>
      </c>
      <c r="M95" s="152"/>
      <c r="N95" s="152"/>
      <c r="O95" s="152"/>
      <c r="P95" s="153"/>
    </row>
    <row r="96" spans="1:19" s="10" customFormat="1" ht="37.200000000000003" customHeight="1" x14ac:dyDescent="0.25">
      <c r="A96" s="8"/>
      <c r="C96" s="25"/>
      <c r="D96" s="33"/>
      <c r="E96" s="33"/>
      <c r="F96" s="33"/>
      <c r="G96" s="11"/>
      <c r="H96" s="144"/>
      <c r="I96" s="144"/>
      <c r="J96" s="144"/>
      <c r="K96" s="144"/>
      <c r="L96" s="144"/>
      <c r="M96" s="144"/>
      <c r="N96" s="144"/>
      <c r="O96" s="144"/>
      <c r="P96" s="8"/>
    </row>
    <row r="97" spans="1:16" s="37" customFormat="1" ht="34.799999999999997" x14ac:dyDescent="0.3">
      <c r="A97" s="36"/>
      <c r="B97" s="38" t="s">
        <v>98</v>
      </c>
      <c r="C97" s="39" t="s">
        <v>101</v>
      </c>
      <c r="D97" s="39" t="s">
        <v>102</v>
      </c>
      <c r="E97" s="39" t="s">
        <v>100</v>
      </c>
      <c r="G97" s="36"/>
      <c r="J97" s="36"/>
      <c r="K97" s="36"/>
      <c r="P97" s="36"/>
    </row>
    <row r="98" spans="1:16" s="37" customFormat="1" ht="17.399999999999999" x14ac:dyDescent="0.3">
      <c r="A98" s="36"/>
      <c r="B98" s="40" t="s">
        <v>117</v>
      </c>
      <c r="C98" s="41">
        <v>1238</v>
      </c>
      <c r="D98" s="41">
        <v>1018</v>
      </c>
      <c r="E98" s="41">
        <v>2256</v>
      </c>
      <c r="G98" s="36"/>
      <c r="J98" s="36"/>
      <c r="K98" s="36"/>
      <c r="P98" s="36"/>
    </row>
    <row r="99" spans="1:16" s="37" customFormat="1" ht="17.399999999999999" x14ac:dyDescent="0.3">
      <c r="A99" s="36"/>
      <c r="B99" s="40" t="s">
        <v>78</v>
      </c>
      <c r="C99" s="41">
        <v>2023</v>
      </c>
      <c r="D99" s="41">
        <v>1642</v>
      </c>
      <c r="E99" s="41">
        <v>3665</v>
      </c>
      <c r="G99" s="36"/>
      <c r="J99" s="36"/>
      <c r="K99" s="36"/>
      <c r="P99" s="36"/>
    </row>
    <row r="100" spans="1:16" s="37" customFormat="1" ht="17.399999999999999" x14ac:dyDescent="0.3">
      <c r="A100" s="36"/>
      <c r="B100" s="40" t="s">
        <v>99</v>
      </c>
      <c r="C100" s="41">
        <v>3261</v>
      </c>
      <c r="D100" s="41">
        <v>2660</v>
      </c>
      <c r="E100" s="41">
        <v>5921</v>
      </c>
      <c r="G100" s="36"/>
      <c r="J100" s="36"/>
      <c r="K100" s="36"/>
      <c r="P100" s="36"/>
    </row>
    <row r="101" spans="1:16" s="37" customFormat="1" ht="17.399999999999999" x14ac:dyDescent="0.3">
      <c r="A101" s="36"/>
      <c r="G101" s="36"/>
      <c r="J101" s="36"/>
      <c r="K101" s="36"/>
      <c r="P101" s="36"/>
    </row>
  </sheetData>
  <mergeCells count="13">
    <mergeCell ref="H96:O96"/>
    <mergeCell ref="M11:N11"/>
    <mergeCell ref="B91:D91"/>
    <mergeCell ref="L93:O93"/>
    <mergeCell ref="F94:I94"/>
    <mergeCell ref="H95:I95"/>
    <mergeCell ref="J95:K95"/>
    <mergeCell ref="L95:P95"/>
    <mergeCell ref="A5:P5"/>
    <mergeCell ref="A6:P6"/>
    <mergeCell ref="K8:O8"/>
    <mergeCell ref="G11:I11"/>
    <mergeCell ref="J11:L11"/>
  </mergeCells>
  <printOptions horizontalCentered="1" verticalCentered="1"/>
  <pageMargins left="0" right="0" top="0" bottom="0" header="0" footer="0"/>
  <pageSetup scale="60" fitToHeight="0"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pageSetUpPr fitToPage="1"/>
  </sheetPr>
  <dimension ref="A4:H83"/>
  <sheetViews>
    <sheetView topLeftCell="A38" zoomScale="90" zoomScaleNormal="90" zoomScaleSheetLayoutView="75" workbookViewId="0">
      <selection activeCell="D53" sqref="C53:D54"/>
    </sheetView>
  </sheetViews>
  <sheetFormatPr baseColWidth="10" defaultColWidth="11.5546875" defaultRowHeight="18" x14ac:dyDescent="0.25"/>
  <cols>
    <col min="1" max="1" width="2.88671875" style="49" customWidth="1"/>
    <col min="2" max="2" width="77.6640625" style="49" customWidth="1"/>
    <col min="3" max="3" width="15.6640625" style="49" customWidth="1"/>
    <col min="4" max="4" width="14.6640625" style="49" customWidth="1"/>
    <col min="5" max="5" width="3.6640625" style="48" customWidth="1"/>
    <col min="6" max="6" width="24.33203125" style="49" customWidth="1"/>
    <col min="7" max="7" width="2.44140625" style="49" customWidth="1"/>
    <col min="8" max="8" width="76.6640625" style="49" customWidth="1"/>
    <col min="9" max="16384" width="11.5546875" style="49"/>
  </cols>
  <sheetData>
    <row r="4" spans="2:6" ht="25.2" x14ac:dyDescent="0.25">
      <c r="B4" s="46"/>
      <c r="C4" s="47"/>
      <c r="D4" s="47"/>
      <c r="F4" s="47"/>
    </row>
    <row r="5" spans="2:6" ht="89.4" customHeight="1" x14ac:dyDescent="0.25">
      <c r="B5" s="154" t="s">
        <v>186</v>
      </c>
      <c r="C5" s="154"/>
      <c r="D5" s="154"/>
    </row>
    <row r="6" spans="2:6" ht="25.2" x14ac:dyDescent="0.25">
      <c r="B6" s="155" t="s">
        <v>0</v>
      </c>
      <c r="C6" s="156"/>
      <c r="D6" s="157"/>
    </row>
    <row r="7" spans="2:6" ht="36" customHeight="1" x14ac:dyDescent="0.25">
      <c r="B7" s="158" t="s">
        <v>40</v>
      </c>
      <c r="C7" s="158"/>
      <c r="D7" s="158"/>
    </row>
    <row r="8" spans="2:6" ht="30.6" customHeight="1" x14ac:dyDescent="0.25">
      <c r="B8" s="50" t="s">
        <v>1</v>
      </c>
      <c r="C8" s="50" t="s">
        <v>2</v>
      </c>
      <c r="D8" s="50" t="s">
        <v>3</v>
      </c>
      <c r="F8" s="51" t="s">
        <v>43</v>
      </c>
    </row>
    <row r="9" spans="2:6" ht="18.75" customHeight="1" x14ac:dyDescent="0.25">
      <c r="B9" s="159" t="s">
        <v>134</v>
      </c>
      <c r="C9" s="117">
        <v>2332</v>
      </c>
      <c r="D9" s="244">
        <f>SUM(C9)/C10*100</f>
        <v>70.114251352976552</v>
      </c>
      <c r="E9" s="47"/>
      <c r="F9" s="261" t="s">
        <v>44</v>
      </c>
    </row>
    <row r="10" spans="2:6" ht="18.75" customHeight="1" x14ac:dyDescent="0.25">
      <c r="B10" s="160"/>
      <c r="C10" s="117">
        <v>3326</v>
      </c>
      <c r="D10" s="245"/>
      <c r="E10" s="47"/>
      <c r="F10" s="262"/>
    </row>
    <row r="11" spans="2:6" ht="18.75" customHeight="1" x14ac:dyDescent="0.25">
      <c r="B11" s="159" t="s">
        <v>4</v>
      </c>
      <c r="C11" s="117">
        <v>212</v>
      </c>
      <c r="D11" s="244">
        <f>SUM(C11)/C12*100</f>
        <v>4.6902654867256635</v>
      </c>
      <c r="E11" s="47"/>
      <c r="F11" s="261" t="s">
        <v>44</v>
      </c>
    </row>
    <row r="12" spans="2:6" ht="18.75" customHeight="1" x14ac:dyDescent="0.25">
      <c r="B12" s="160"/>
      <c r="C12" s="117">
        <v>4520</v>
      </c>
      <c r="D12" s="245"/>
      <c r="E12" s="47"/>
      <c r="F12" s="262"/>
    </row>
    <row r="13" spans="2:6" ht="18.75" customHeight="1" x14ac:dyDescent="0.25">
      <c r="B13" s="159" t="s">
        <v>5</v>
      </c>
      <c r="C13" s="117">
        <v>980</v>
      </c>
      <c r="D13" s="244">
        <f>SUM(C13)/C14*100</f>
        <v>7.8683259735046169</v>
      </c>
      <c r="E13" s="47"/>
      <c r="F13" s="261" t="s">
        <v>44</v>
      </c>
    </row>
    <row r="14" spans="2:6" ht="18.75" customHeight="1" x14ac:dyDescent="0.25">
      <c r="B14" s="160"/>
      <c r="C14" s="117">
        <v>12455</v>
      </c>
      <c r="D14" s="245"/>
      <c r="E14" s="47"/>
      <c r="F14" s="262"/>
    </row>
    <row r="15" spans="2:6" ht="18.75" customHeight="1" x14ac:dyDescent="0.25">
      <c r="B15" s="159" t="s">
        <v>6</v>
      </c>
      <c r="C15" s="117">
        <v>1383</v>
      </c>
      <c r="D15" s="244">
        <f>+C15/C16*100</f>
        <v>58.901192504258951</v>
      </c>
      <c r="E15" s="47"/>
      <c r="F15" s="261" t="s">
        <v>44</v>
      </c>
    </row>
    <row r="16" spans="2:6" ht="18.75" customHeight="1" x14ac:dyDescent="0.25">
      <c r="B16" s="160"/>
      <c r="C16" s="117">
        <v>2348</v>
      </c>
      <c r="D16" s="245"/>
      <c r="E16" s="47"/>
      <c r="F16" s="262"/>
    </row>
    <row r="17" spans="1:6" ht="18.75" customHeight="1" x14ac:dyDescent="0.25">
      <c r="B17" s="159" t="s">
        <v>7</v>
      </c>
      <c r="C17" s="117">
        <v>1481</v>
      </c>
      <c r="D17" s="244">
        <f>SUM(C17)/C18*100</f>
        <v>100</v>
      </c>
      <c r="E17" s="47"/>
      <c r="F17" s="261" t="s">
        <v>44</v>
      </c>
    </row>
    <row r="18" spans="1:6" ht="18.75" customHeight="1" x14ac:dyDescent="0.25">
      <c r="B18" s="160"/>
      <c r="C18" s="117">
        <v>1481</v>
      </c>
      <c r="D18" s="245"/>
      <c r="E18" s="47"/>
      <c r="F18" s="262"/>
    </row>
    <row r="19" spans="1:6" ht="18.75" customHeight="1" x14ac:dyDescent="0.25">
      <c r="B19" s="159" t="s">
        <v>8</v>
      </c>
      <c r="C19" s="117">
        <v>1481</v>
      </c>
      <c r="D19" s="244">
        <f>SUM(C19)/C20*100</f>
        <v>94.511805998723673</v>
      </c>
      <c r="E19" s="47"/>
      <c r="F19" s="261" t="s">
        <v>44</v>
      </c>
    </row>
    <row r="20" spans="1:6" ht="18.75" customHeight="1" x14ac:dyDescent="0.25">
      <c r="B20" s="160"/>
      <c r="C20" s="117">
        <v>1567</v>
      </c>
      <c r="D20" s="245"/>
      <c r="E20" s="47"/>
      <c r="F20" s="262"/>
    </row>
    <row r="21" spans="1:6" ht="18.75" customHeight="1" x14ac:dyDescent="0.25">
      <c r="B21" s="159" t="s">
        <v>9</v>
      </c>
      <c r="C21" s="117">
        <v>987</v>
      </c>
      <c r="D21" s="244">
        <f>SUM(C21)/C22*100</f>
        <v>21.836283185840706</v>
      </c>
      <c r="E21" s="47"/>
      <c r="F21" s="261" t="s">
        <v>44</v>
      </c>
    </row>
    <row r="22" spans="1:6" ht="18.75" customHeight="1" x14ac:dyDescent="0.25">
      <c r="B22" s="160"/>
      <c r="C22" s="117">
        <v>4520</v>
      </c>
      <c r="D22" s="245"/>
      <c r="E22" s="47"/>
      <c r="F22" s="262"/>
    </row>
    <row r="23" spans="1:6" ht="18.75" customHeight="1" x14ac:dyDescent="0.25">
      <c r="B23" s="159" t="s">
        <v>10</v>
      </c>
      <c r="C23" s="117">
        <f>354+173+165</f>
        <v>692</v>
      </c>
      <c r="D23" s="244">
        <f>SUM(C23)/C24*100</f>
        <v>15.309734513274337</v>
      </c>
      <c r="E23" s="47"/>
      <c r="F23" s="261" t="s">
        <v>44</v>
      </c>
    </row>
    <row r="24" spans="1:6" ht="18.75" customHeight="1" x14ac:dyDescent="0.25">
      <c r="B24" s="160"/>
      <c r="C24" s="117">
        <v>4520</v>
      </c>
      <c r="D24" s="245"/>
      <c r="E24" s="47"/>
      <c r="F24" s="262"/>
    </row>
    <row r="25" spans="1:6" ht="18.75" customHeight="1" x14ac:dyDescent="0.25">
      <c r="A25" s="168"/>
      <c r="B25" s="270" t="s">
        <v>63</v>
      </c>
      <c r="C25" s="117">
        <v>4520</v>
      </c>
      <c r="D25" s="244">
        <f>+C25/C26*100</f>
        <v>100</v>
      </c>
      <c r="E25" s="47"/>
      <c r="F25" s="261" t="s">
        <v>64</v>
      </c>
    </row>
    <row r="26" spans="1:6" ht="18.75" customHeight="1" x14ac:dyDescent="0.25">
      <c r="A26" s="168"/>
      <c r="B26" s="271"/>
      <c r="C26" s="117">
        <v>4520</v>
      </c>
      <c r="D26" s="245"/>
      <c r="E26" s="47"/>
      <c r="F26" s="262"/>
    </row>
    <row r="27" spans="1:6" ht="18.75" customHeight="1" x14ac:dyDescent="0.25">
      <c r="B27" s="270" t="s">
        <v>103</v>
      </c>
      <c r="C27" s="117">
        <v>87</v>
      </c>
      <c r="D27" s="244">
        <f>+C27/C28*100</f>
        <v>1.9247787610619471</v>
      </c>
      <c r="E27" s="47"/>
      <c r="F27" s="261" t="s">
        <v>44</v>
      </c>
    </row>
    <row r="28" spans="1:6" ht="18.75" customHeight="1" x14ac:dyDescent="0.25">
      <c r="B28" s="271"/>
      <c r="C28" s="117">
        <v>4520</v>
      </c>
      <c r="D28" s="245"/>
      <c r="E28" s="47"/>
      <c r="F28" s="262"/>
    </row>
    <row r="29" spans="1:6" ht="30.6" customHeight="1" x14ac:dyDescent="0.25">
      <c r="B29" s="50" t="s">
        <v>11</v>
      </c>
      <c r="C29" s="50" t="s">
        <v>2</v>
      </c>
      <c r="D29" s="50" t="s">
        <v>3</v>
      </c>
      <c r="F29" s="51" t="s">
        <v>43</v>
      </c>
    </row>
    <row r="30" spans="1:6" ht="18.75" customHeight="1" x14ac:dyDescent="0.25">
      <c r="B30" s="159" t="s">
        <v>12</v>
      </c>
      <c r="C30" s="117">
        <v>4520</v>
      </c>
      <c r="D30" s="246">
        <f>SUM(C30)/C31</f>
        <v>19.071729957805907</v>
      </c>
      <c r="E30" s="47"/>
      <c r="F30" s="261" t="s">
        <v>45</v>
      </c>
    </row>
    <row r="31" spans="1:6" ht="19.2" customHeight="1" x14ac:dyDescent="0.25">
      <c r="B31" s="160"/>
      <c r="C31" s="117">
        <v>237</v>
      </c>
      <c r="D31" s="247"/>
      <c r="E31" s="47"/>
      <c r="F31" s="262"/>
    </row>
    <row r="32" spans="1:6" ht="19.2" customHeight="1" x14ac:dyDescent="0.25">
      <c r="B32" s="159" t="s">
        <v>13</v>
      </c>
      <c r="C32" s="117">
        <v>171</v>
      </c>
      <c r="D32" s="244">
        <f>SUM(C32)/C33*100</f>
        <v>72.151898734177209</v>
      </c>
      <c r="E32" s="47"/>
      <c r="F32" s="261" t="s">
        <v>45</v>
      </c>
    </row>
    <row r="33" spans="2:6" ht="19.2" customHeight="1" x14ac:dyDescent="0.25">
      <c r="B33" s="160"/>
      <c r="C33" s="117">
        <v>237</v>
      </c>
      <c r="D33" s="245"/>
      <c r="E33" s="47"/>
      <c r="F33" s="262"/>
    </row>
    <row r="34" spans="2:6" ht="19.2" customHeight="1" x14ac:dyDescent="0.25">
      <c r="B34" s="159" t="s">
        <v>14</v>
      </c>
      <c r="C34" s="117">
        <v>235</v>
      </c>
      <c r="D34" s="244">
        <f>SUM(C34)/C35*100</f>
        <v>99.156118143459921</v>
      </c>
      <c r="E34" s="47"/>
      <c r="F34" s="261" t="s">
        <v>45</v>
      </c>
    </row>
    <row r="35" spans="2:6" ht="19.2" customHeight="1" x14ac:dyDescent="0.25">
      <c r="B35" s="160"/>
      <c r="C35" s="117">
        <v>237</v>
      </c>
      <c r="D35" s="245"/>
      <c r="E35" s="47"/>
      <c r="F35" s="262"/>
    </row>
    <row r="36" spans="2:6" ht="19.2" customHeight="1" x14ac:dyDescent="0.25">
      <c r="B36" s="159" t="s">
        <v>15</v>
      </c>
      <c r="C36" s="117">
        <v>110</v>
      </c>
      <c r="D36" s="244">
        <f>SUM(C36)/C37*100</f>
        <v>46.413502109704638</v>
      </c>
      <c r="E36" s="47"/>
      <c r="F36" s="261" t="s">
        <v>45</v>
      </c>
    </row>
    <row r="37" spans="2:6" ht="19.2" customHeight="1" x14ac:dyDescent="0.25">
      <c r="B37" s="160"/>
      <c r="C37" s="117">
        <v>237</v>
      </c>
      <c r="D37" s="245"/>
      <c r="E37" s="47"/>
      <c r="F37" s="262"/>
    </row>
    <row r="38" spans="2:6" ht="19.2" customHeight="1" x14ac:dyDescent="0.25">
      <c r="B38" s="159" t="s">
        <v>16</v>
      </c>
      <c r="C38" s="117">
        <v>193</v>
      </c>
      <c r="D38" s="244">
        <f>SUM(C38)/C39*100</f>
        <v>81.434599156118153</v>
      </c>
      <c r="E38" s="47"/>
      <c r="F38" s="261" t="s">
        <v>45</v>
      </c>
    </row>
    <row r="39" spans="2:6" ht="19.2" customHeight="1" x14ac:dyDescent="0.25">
      <c r="B39" s="160"/>
      <c r="C39" s="117">
        <v>237</v>
      </c>
      <c r="D39" s="245"/>
      <c r="E39" s="47"/>
      <c r="F39" s="262"/>
    </row>
    <row r="40" spans="2:6" ht="19.2" customHeight="1" x14ac:dyDescent="0.25">
      <c r="B40" s="169" t="s">
        <v>17</v>
      </c>
      <c r="C40" s="117">
        <v>237</v>
      </c>
      <c r="D40" s="248">
        <f>+C40/C41*100</f>
        <v>100</v>
      </c>
      <c r="E40" s="47"/>
      <c r="F40" s="261" t="s">
        <v>45</v>
      </c>
    </row>
    <row r="41" spans="2:6" ht="19.2" customHeight="1" x14ac:dyDescent="0.25">
      <c r="B41" s="170"/>
      <c r="C41" s="117">
        <v>237</v>
      </c>
      <c r="D41" s="249"/>
      <c r="E41" s="47"/>
      <c r="F41" s="262"/>
    </row>
    <row r="42" spans="2:6" ht="30.6" customHeight="1" x14ac:dyDescent="0.25">
      <c r="B42" s="50" t="s">
        <v>18</v>
      </c>
      <c r="C42" s="50" t="s">
        <v>2</v>
      </c>
      <c r="D42" s="50" t="s">
        <v>3</v>
      </c>
      <c r="F42" s="51" t="s">
        <v>43</v>
      </c>
    </row>
    <row r="43" spans="2:6" ht="18.75" customHeight="1" x14ac:dyDescent="0.25">
      <c r="B43" s="159" t="s">
        <v>19</v>
      </c>
      <c r="C43" s="117">
        <v>1481</v>
      </c>
      <c r="D43" s="244">
        <f>C43/C44*100</f>
        <v>94.511805998723673</v>
      </c>
      <c r="F43" s="261" t="s">
        <v>44</v>
      </c>
    </row>
    <row r="44" spans="2:6" ht="18.75" customHeight="1" x14ac:dyDescent="0.25">
      <c r="B44" s="160"/>
      <c r="C44" s="117">
        <v>1567</v>
      </c>
      <c r="D44" s="245"/>
      <c r="F44" s="262"/>
    </row>
    <row r="45" spans="2:6" ht="18.75" customHeight="1" x14ac:dyDescent="0.25">
      <c r="B45" s="159" t="s">
        <v>21</v>
      </c>
      <c r="C45" s="117">
        <v>1794</v>
      </c>
      <c r="D45" s="244">
        <f>SUM(C45)/C46*100</f>
        <v>26.212741087083575</v>
      </c>
      <c r="E45" s="47"/>
      <c r="F45" s="261" t="s">
        <v>46</v>
      </c>
    </row>
    <row r="46" spans="2:6" ht="18.75" customHeight="1" x14ac:dyDescent="0.25">
      <c r="B46" s="160"/>
      <c r="C46" s="117">
        <v>6844</v>
      </c>
      <c r="D46" s="245"/>
      <c r="E46" s="47"/>
      <c r="F46" s="262"/>
    </row>
    <row r="47" spans="2:6" ht="18.75" customHeight="1" x14ac:dyDescent="0.25">
      <c r="B47" s="159" t="s">
        <v>22</v>
      </c>
      <c r="C47" s="117">
        <v>1369</v>
      </c>
      <c r="D47" s="244">
        <f>SUM(C47)/C48*100</f>
        <v>20.002922267679722</v>
      </c>
      <c r="E47" s="47"/>
      <c r="F47" s="261" t="s">
        <v>46</v>
      </c>
    </row>
    <row r="48" spans="2:6" ht="18.75" customHeight="1" x14ac:dyDescent="0.25">
      <c r="B48" s="160"/>
      <c r="C48" s="117">
        <v>6844</v>
      </c>
      <c r="D48" s="245"/>
      <c r="E48" s="47"/>
      <c r="F48" s="262"/>
    </row>
    <row r="49" spans="2:8" ht="18.75" customHeight="1" x14ac:dyDescent="0.25">
      <c r="B49" s="159" t="s">
        <v>23</v>
      </c>
      <c r="C49" s="117">
        <v>2507</v>
      </c>
      <c r="D49" s="244">
        <f>SUM(C49)/C50*100</f>
        <v>55.464601769911503</v>
      </c>
      <c r="E49" s="47"/>
      <c r="F49" s="261" t="s">
        <v>56</v>
      </c>
    </row>
    <row r="50" spans="2:8" ht="18.75" customHeight="1" x14ac:dyDescent="0.25">
      <c r="B50" s="160"/>
      <c r="C50" s="117">
        <v>4520</v>
      </c>
      <c r="D50" s="245"/>
      <c r="E50" s="47"/>
      <c r="F50" s="262"/>
    </row>
    <row r="51" spans="2:8" ht="18.75" customHeight="1" x14ac:dyDescent="0.25">
      <c r="B51" s="159" t="s">
        <v>24</v>
      </c>
      <c r="C51" s="137">
        <v>1623</v>
      </c>
      <c r="D51" s="268">
        <f>SUM(C51)/C52*100</f>
        <v>35.907079646017699</v>
      </c>
      <c r="E51" s="47"/>
      <c r="F51" s="261" t="s">
        <v>56</v>
      </c>
    </row>
    <row r="52" spans="2:8" ht="18.75" customHeight="1" x14ac:dyDescent="0.25">
      <c r="B52" s="160"/>
      <c r="C52" s="137">
        <v>4520</v>
      </c>
      <c r="D52" s="269"/>
      <c r="E52" s="47"/>
      <c r="F52" s="262"/>
    </row>
    <row r="53" spans="2:8" ht="18.75" customHeight="1" x14ac:dyDescent="0.25">
      <c r="B53" s="159" t="s">
        <v>25</v>
      </c>
      <c r="C53" s="117">
        <f>6+8+296</f>
        <v>310</v>
      </c>
      <c r="D53" s="244">
        <f>SUM(C53)/C54*100</f>
        <v>25.162337662337663</v>
      </c>
      <c r="E53" s="47"/>
      <c r="F53" s="261" t="s">
        <v>47</v>
      </c>
    </row>
    <row r="54" spans="2:8" ht="18.75" customHeight="1" x14ac:dyDescent="0.25">
      <c r="B54" s="160"/>
      <c r="C54" s="117">
        <f>6+8+1218</f>
        <v>1232</v>
      </c>
      <c r="D54" s="245"/>
      <c r="E54" s="47"/>
      <c r="F54" s="262"/>
    </row>
    <row r="55" spans="2:8" ht="18.75" customHeight="1" x14ac:dyDescent="0.25">
      <c r="B55" s="159" t="s">
        <v>26</v>
      </c>
      <c r="C55" s="117">
        <v>61</v>
      </c>
      <c r="D55" s="244">
        <f>SUM(C55)/C56*100</f>
        <v>100</v>
      </c>
      <c r="E55" s="47"/>
      <c r="F55" s="261" t="s">
        <v>48</v>
      </c>
      <c r="H55" s="175"/>
    </row>
    <row r="56" spans="2:8" ht="18.75" customHeight="1" x14ac:dyDescent="0.25">
      <c r="B56" s="160"/>
      <c r="C56" s="117">
        <v>61</v>
      </c>
      <c r="D56" s="245"/>
      <c r="E56" s="47"/>
      <c r="F56" s="262"/>
      <c r="H56" s="175"/>
    </row>
    <row r="57" spans="2:8" ht="30.6" customHeight="1" x14ac:dyDescent="0.25">
      <c r="B57" s="50" t="s">
        <v>27</v>
      </c>
      <c r="C57" s="50" t="s">
        <v>2</v>
      </c>
      <c r="D57" s="50" t="s">
        <v>3</v>
      </c>
      <c r="F57" s="51" t="s">
        <v>43</v>
      </c>
    </row>
    <row r="58" spans="2:8" ht="18.75" customHeight="1" x14ac:dyDescent="0.25">
      <c r="B58" s="159" t="s">
        <v>28</v>
      </c>
      <c r="C58" s="139">
        <v>1898</v>
      </c>
      <c r="D58" s="250">
        <f>SUM(C58)/C59*100</f>
        <v>41.991150442477874</v>
      </c>
      <c r="E58" s="47"/>
      <c r="F58" s="261" t="s">
        <v>49</v>
      </c>
    </row>
    <row r="59" spans="2:8" ht="18.75" customHeight="1" x14ac:dyDescent="0.25">
      <c r="B59" s="160"/>
      <c r="C59" s="140">
        <v>4520</v>
      </c>
      <c r="D59" s="251"/>
      <c r="E59" s="47"/>
      <c r="F59" s="262"/>
    </row>
    <row r="60" spans="2:8" ht="18.75" customHeight="1" x14ac:dyDescent="0.25">
      <c r="B60" s="159" t="s">
        <v>29</v>
      </c>
      <c r="C60" s="140">
        <v>58</v>
      </c>
      <c r="D60" s="250">
        <f>SUM(C60)/C61*100</f>
        <v>53.703703703703709</v>
      </c>
      <c r="E60" s="47"/>
      <c r="F60" s="261" t="s">
        <v>49</v>
      </c>
    </row>
    <row r="61" spans="2:8" ht="18.75" customHeight="1" x14ac:dyDescent="0.25">
      <c r="B61" s="160"/>
      <c r="C61" s="140">
        <v>108</v>
      </c>
      <c r="D61" s="251"/>
      <c r="E61" s="47"/>
      <c r="F61" s="262"/>
    </row>
    <row r="62" spans="2:8" ht="18.75" customHeight="1" x14ac:dyDescent="0.25">
      <c r="B62" s="159" t="s">
        <v>30</v>
      </c>
      <c r="C62" s="140">
        <v>3</v>
      </c>
      <c r="D62" s="250">
        <f>SUM(C62)/C63*100</f>
        <v>2.7777777777777777</v>
      </c>
      <c r="E62" s="47"/>
      <c r="F62" s="261" t="s">
        <v>49</v>
      </c>
    </row>
    <row r="63" spans="2:8" ht="18.75" customHeight="1" x14ac:dyDescent="0.25">
      <c r="B63" s="160"/>
      <c r="C63" s="140">
        <v>108</v>
      </c>
      <c r="D63" s="251"/>
      <c r="E63" s="47"/>
      <c r="F63" s="262"/>
    </row>
    <row r="64" spans="2:8" ht="18.75" customHeight="1" x14ac:dyDescent="0.25">
      <c r="B64" s="159" t="s">
        <v>31</v>
      </c>
      <c r="C64" s="119">
        <v>4887728.3004000001</v>
      </c>
      <c r="D64" s="250">
        <f>SUM(C64)/C65*100</f>
        <v>3.9145072626795758</v>
      </c>
      <c r="E64" s="47"/>
      <c r="F64" s="124" t="s">
        <v>136</v>
      </c>
    </row>
    <row r="65" spans="2:8" ht="18.75" customHeight="1" x14ac:dyDescent="0.25">
      <c r="B65" s="160"/>
      <c r="C65" s="119">
        <v>124861904</v>
      </c>
      <c r="D65" s="251"/>
      <c r="E65" s="47"/>
      <c r="F65" s="125" t="s">
        <v>53</v>
      </c>
    </row>
    <row r="66" spans="2:8" ht="30.6" customHeight="1" x14ac:dyDescent="0.25">
      <c r="B66" s="50" t="s">
        <v>32</v>
      </c>
      <c r="C66" s="50" t="s">
        <v>2</v>
      </c>
      <c r="D66" s="50" t="s">
        <v>3</v>
      </c>
      <c r="F66" s="51" t="s">
        <v>43</v>
      </c>
    </row>
    <row r="67" spans="2:8" ht="18.75" customHeight="1" x14ac:dyDescent="0.25">
      <c r="B67" s="159" t="s">
        <v>33</v>
      </c>
      <c r="C67" s="137">
        <v>2332</v>
      </c>
      <c r="D67" s="266">
        <f>+C67/C68*100</f>
        <v>34.043795620437955</v>
      </c>
      <c r="E67" s="47"/>
      <c r="F67" s="124" t="s">
        <v>138</v>
      </c>
    </row>
    <row r="68" spans="2:8" ht="18.75" customHeight="1" x14ac:dyDescent="0.25">
      <c r="B68" s="160"/>
      <c r="C68" s="137">
        <v>6850</v>
      </c>
      <c r="D68" s="267"/>
      <c r="E68" s="47"/>
      <c r="F68" s="125" t="s">
        <v>135</v>
      </c>
    </row>
    <row r="69" spans="2:8" ht="18.75" customHeight="1" x14ac:dyDescent="0.25">
      <c r="B69" s="159" t="s">
        <v>34</v>
      </c>
      <c r="C69" s="117">
        <v>78</v>
      </c>
      <c r="D69" s="244">
        <f>SUM(C69)/C70*100</f>
        <v>100</v>
      </c>
      <c r="E69" s="47"/>
      <c r="F69" s="128" t="s">
        <v>136</v>
      </c>
      <c r="H69" s="178"/>
    </row>
    <row r="70" spans="2:8" ht="18.75" customHeight="1" x14ac:dyDescent="0.25">
      <c r="B70" s="160"/>
      <c r="C70" s="117">
        <v>78</v>
      </c>
      <c r="D70" s="245"/>
      <c r="E70" s="47"/>
      <c r="F70" s="125" t="s">
        <v>50</v>
      </c>
      <c r="H70" s="178"/>
    </row>
    <row r="71" spans="2:8" ht="18.75" customHeight="1" x14ac:dyDescent="0.25">
      <c r="B71" s="159" t="s">
        <v>35</v>
      </c>
      <c r="C71" s="117">
        <v>10868</v>
      </c>
      <c r="D71" s="244">
        <f>SUM(C71)/C72</f>
        <v>2.8126293995859215</v>
      </c>
      <c r="E71" s="47"/>
      <c r="F71" s="265" t="s">
        <v>51</v>
      </c>
    </row>
    <row r="72" spans="2:8" ht="18.75" customHeight="1" x14ac:dyDescent="0.25">
      <c r="B72" s="160"/>
      <c r="C72" s="117">
        <v>3864</v>
      </c>
      <c r="D72" s="245"/>
      <c r="E72" s="47"/>
      <c r="F72" s="265"/>
    </row>
    <row r="73" spans="2:8" ht="18.75" customHeight="1" x14ac:dyDescent="0.25">
      <c r="B73" s="159" t="s">
        <v>36</v>
      </c>
      <c r="C73" s="117">
        <v>4520</v>
      </c>
      <c r="D73" s="246">
        <f>SUM(C73)/C74</f>
        <v>13.333333333333334</v>
      </c>
      <c r="E73" s="47"/>
      <c r="F73" s="263" t="s">
        <v>52</v>
      </c>
    </row>
    <row r="74" spans="2:8" ht="18.75" customHeight="1" x14ac:dyDescent="0.25">
      <c r="B74" s="160"/>
      <c r="C74" s="117">
        <v>339</v>
      </c>
      <c r="D74" s="247"/>
      <c r="E74" s="47"/>
      <c r="F74" s="264"/>
    </row>
    <row r="75" spans="2:8" ht="18.75" customHeight="1" x14ac:dyDescent="0.25">
      <c r="B75" s="259" t="s">
        <v>37</v>
      </c>
      <c r="C75" s="117">
        <v>4520</v>
      </c>
      <c r="D75" s="246">
        <f>SUM(C75)/C76</f>
        <v>33.984962406015036</v>
      </c>
      <c r="E75" s="47"/>
      <c r="F75" s="261" t="s">
        <v>45</v>
      </c>
    </row>
    <row r="76" spans="2:8" ht="18.75" customHeight="1" x14ac:dyDescent="0.25">
      <c r="B76" s="260"/>
      <c r="C76" s="117">
        <v>133</v>
      </c>
      <c r="D76" s="247"/>
      <c r="E76" s="47"/>
      <c r="F76" s="262"/>
    </row>
    <row r="77" spans="2:8" ht="18.75" customHeight="1" x14ac:dyDescent="0.25">
      <c r="B77" s="259" t="s">
        <v>38</v>
      </c>
      <c r="C77" s="117">
        <v>123</v>
      </c>
      <c r="D77" s="244">
        <f>SUM(C77)/C78*100</f>
        <v>92.481203007518801</v>
      </c>
      <c r="E77" s="47"/>
      <c r="F77" s="261" t="s">
        <v>45</v>
      </c>
    </row>
    <row r="78" spans="2:8" ht="18.75" customHeight="1" x14ac:dyDescent="0.25">
      <c r="B78" s="260"/>
      <c r="C78" s="117">
        <v>133</v>
      </c>
      <c r="D78" s="245"/>
      <c r="E78" s="47"/>
      <c r="F78" s="262"/>
    </row>
    <row r="79" spans="2:8" ht="18.75" customHeight="1" x14ac:dyDescent="0.25">
      <c r="B79" s="159" t="s">
        <v>39</v>
      </c>
      <c r="C79" s="120">
        <v>82462859.870000005</v>
      </c>
      <c r="D79" s="244">
        <f>SUM(C79)/C80/1000</f>
        <v>18.243995546460177</v>
      </c>
      <c r="E79" s="47"/>
      <c r="F79" s="261" t="s">
        <v>53</v>
      </c>
      <c r="G79" s="69"/>
    </row>
    <row r="80" spans="2:8" ht="18.75" customHeight="1" x14ac:dyDescent="0.25">
      <c r="B80" s="160"/>
      <c r="C80" s="117">
        <v>4520</v>
      </c>
      <c r="D80" s="245"/>
      <c r="E80" s="47"/>
      <c r="F80" s="262"/>
    </row>
    <row r="81" spans="2:6" x14ac:dyDescent="0.25">
      <c r="B81" s="47"/>
      <c r="C81" s="47"/>
      <c r="D81" s="47"/>
      <c r="F81" s="57"/>
    </row>
    <row r="82" spans="2:6" ht="109.2" customHeight="1" x14ac:dyDescent="0.5">
      <c r="B82" s="58" t="s">
        <v>61</v>
      </c>
    </row>
    <row r="83" spans="2:6" x14ac:dyDescent="0.25">
      <c r="B83" s="59" t="s">
        <v>60</v>
      </c>
      <c r="C83" s="165"/>
      <c r="D83" s="165"/>
    </row>
  </sheetData>
  <mergeCells count="106">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B23:B24"/>
    <mergeCell ref="D23:D24"/>
    <mergeCell ref="F23:F24"/>
    <mergeCell ref="A25:A26"/>
    <mergeCell ref="B25:B26"/>
    <mergeCell ref="D25:D26"/>
    <mergeCell ref="F25:F26"/>
    <mergeCell ref="B19:B20"/>
    <mergeCell ref="D19:D20"/>
    <mergeCell ref="F19:F20"/>
    <mergeCell ref="B21:B22"/>
    <mergeCell ref="D21:D22"/>
    <mergeCell ref="F21:F22"/>
    <mergeCell ref="B32:B33"/>
    <mergeCell ref="D32:D33"/>
    <mergeCell ref="F32:F33"/>
    <mergeCell ref="B34:B35"/>
    <mergeCell ref="D34:D35"/>
    <mergeCell ref="F34:F35"/>
    <mergeCell ref="B27:B28"/>
    <mergeCell ref="D27:D28"/>
    <mergeCell ref="F27:F28"/>
    <mergeCell ref="B30:B31"/>
    <mergeCell ref="D30:D31"/>
    <mergeCell ref="F30:F31"/>
    <mergeCell ref="B40:B41"/>
    <mergeCell ref="D40:D41"/>
    <mergeCell ref="F40:F41"/>
    <mergeCell ref="B43:B44"/>
    <mergeCell ref="D43:D44"/>
    <mergeCell ref="F43:F44"/>
    <mergeCell ref="B36:B37"/>
    <mergeCell ref="D36:D37"/>
    <mergeCell ref="F36:F37"/>
    <mergeCell ref="B38:B39"/>
    <mergeCell ref="D38:D39"/>
    <mergeCell ref="F38:F39"/>
    <mergeCell ref="B49:B50"/>
    <mergeCell ref="D49:D50"/>
    <mergeCell ref="F49:F50"/>
    <mergeCell ref="B51:B52"/>
    <mergeCell ref="D51:D52"/>
    <mergeCell ref="F51:F52"/>
    <mergeCell ref="B45:B46"/>
    <mergeCell ref="D45:D46"/>
    <mergeCell ref="F45:F46"/>
    <mergeCell ref="B47:B48"/>
    <mergeCell ref="D47:D48"/>
    <mergeCell ref="F47:F48"/>
    <mergeCell ref="H55:H56"/>
    <mergeCell ref="B58:B59"/>
    <mergeCell ref="D58:D59"/>
    <mergeCell ref="F58:F59"/>
    <mergeCell ref="B60:B61"/>
    <mergeCell ref="D60:D61"/>
    <mergeCell ref="F60:F61"/>
    <mergeCell ref="B53:B54"/>
    <mergeCell ref="D53:D54"/>
    <mergeCell ref="F53:F54"/>
    <mergeCell ref="B55:B56"/>
    <mergeCell ref="D55:D56"/>
    <mergeCell ref="F55:F56"/>
    <mergeCell ref="B69:B70"/>
    <mergeCell ref="D69:D70"/>
    <mergeCell ref="H69:H70"/>
    <mergeCell ref="B71:B72"/>
    <mergeCell ref="D71:D72"/>
    <mergeCell ref="F71:F72"/>
    <mergeCell ref="B62:B63"/>
    <mergeCell ref="D62:D63"/>
    <mergeCell ref="F62:F63"/>
    <mergeCell ref="B64:B65"/>
    <mergeCell ref="D64:D65"/>
    <mergeCell ref="B67:B68"/>
    <mergeCell ref="D67:D68"/>
    <mergeCell ref="C83:D83"/>
    <mergeCell ref="B77:B78"/>
    <mergeCell ref="D77:D78"/>
    <mergeCell ref="F77:F78"/>
    <mergeCell ref="B79:B80"/>
    <mergeCell ref="D79:D80"/>
    <mergeCell ref="F79:F80"/>
    <mergeCell ref="B73:B74"/>
    <mergeCell ref="D73:D74"/>
    <mergeCell ref="F73:F74"/>
    <mergeCell ref="B75:B76"/>
    <mergeCell ref="D75:D76"/>
    <mergeCell ref="F75:F76"/>
  </mergeCells>
  <printOptions horizontalCentered="1" verticalCentered="1"/>
  <pageMargins left="0.39370078740157483" right="0.39370078740157483" top="0.39370078740157483" bottom="0.39370078740157483" header="0.31496062992125984" footer="0.31496062992125984"/>
  <pageSetup scale="46" orientation="portrait" horizontalDpi="4294967295" verticalDpi="4294967295"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CC"/>
    <pageSetUpPr fitToPage="1"/>
  </sheetPr>
  <dimension ref="A4:H83"/>
  <sheetViews>
    <sheetView topLeftCell="A42" zoomScale="90" zoomScaleNormal="90" zoomScaleSheetLayoutView="75" workbookViewId="0">
      <selection activeCell="C53" sqref="C53:D54"/>
    </sheetView>
  </sheetViews>
  <sheetFormatPr baseColWidth="10" defaultColWidth="11.5546875" defaultRowHeight="18" x14ac:dyDescent="0.25"/>
  <cols>
    <col min="1" max="1" width="2.88671875" style="49" customWidth="1"/>
    <col min="2" max="2" width="77.6640625" style="49" customWidth="1"/>
    <col min="3" max="3" width="15.88671875" style="49" customWidth="1"/>
    <col min="4" max="4" width="14.6640625" style="49" customWidth="1"/>
    <col min="5" max="5" width="3.6640625" style="48" customWidth="1"/>
    <col min="6" max="6" width="24.33203125" style="49" customWidth="1"/>
    <col min="7" max="7" width="2.6640625" style="49" customWidth="1"/>
    <col min="8" max="8" width="58.6640625" style="49" customWidth="1"/>
    <col min="9" max="16384" width="11.5546875" style="49"/>
  </cols>
  <sheetData>
    <row r="4" spans="2:6" ht="25.2" x14ac:dyDescent="0.25">
      <c r="B4" s="46"/>
      <c r="C4" s="47"/>
      <c r="D4" s="47"/>
      <c r="F4" s="47"/>
    </row>
    <row r="5" spans="2:6" ht="99" customHeight="1" x14ac:dyDescent="0.25">
      <c r="B5" s="154" t="s">
        <v>186</v>
      </c>
      <c r="C5" s="154"/>
      <c r="D5" s="154"/>
    </row>
    <row r="6" spans="2:6" ht="25.2" x14ac:dyDescent="0.25">
      <c r="B6" s="155" t="s">
        <v>0</v>
      </c>
      <c r="C6" s="156"/>
      <c r="D6" s="157"/>
    </row>
    <row r="7" spans="2:6" ht="36" customHeight="1" x14ac:dyDescent="0.25">
      <c r="B7" s="158" t="s">
        <v>41</v>
      </c>
      <c r="C7" s="158"/>
      <c r="D7" s="158"/>
    </row>
    <row r="8" spans="2:6" ht="35.4" customHeight="1" x14ac:dyDescent="0.25">
      <c r="B8" s="50" t="s">
        <v>1</v>
      </c>
      <c r="C8" s="50" t="s">
        <v>2</v>
      </c>
      <c r="D8" s="50" t="s">
        <v>3</v>
      </c>
      <c r="F8" s="51" t="s">
        <v>43</v>
      </c>
    </row>
    <row r="9" spans="2:6" ht="18.75" customHeight="1" x14ac:dyDescent="0.25">
      <c r="B9" s="159" t="s">
        <v>54</v>
      </c>
      <c r="C9" s="117">
        <v>1292</v>
      </c>
      <c r="D9" s="244">
        <f>SUM(C9)/C10*100</f>
        <v>99.384615384615387</v>
      </c>
      <c r="F9" s="161" t="s">
        <v>44</v>
      </c>
    </row>
    <row r="10" spans="2:6" ht="18.75" customHeight="1" x14ac:dyDescent="0.25">
      <c r="B10" s="160"/>
      <c r="C10" s="117">
        <v>1300</v>
      </c>
      <c r="D10" s="245"/>
      <c r="F10" s="162"/>
    </row>
    <row r="11" spans="2:6" ht="18.75" customHeight="1" x14ac:dyDescent="0.25">
      <c r="B11" s="159" t="s">
        <v>4</v>
      </c>
      <c r="C11" s="117">
        <v>1</v>
      </c>
      <c r="D11" s="244">
        <f>SUM(C11)/C12*100</f>
        <v>4.3140638481449528E-2</v>
      </c>
      <c r="F11" s="161" t="s">
        <v>44</v>
      </c>
    </row>
    <row r="12" spans="2:6" ht="18.75" customHeight="1" x14ac:dyDescent="0.25">
      <c r="B12" s="160"/>
      <c r="C12" s="117">
        <v>2318</v>
      </c>
      <c r="D12" s="245"/>
      <c r="F12" s="162"/>
    </row>
    <row r="13" spans="2:6" ht="18.75" customHeight="1" x14ac:dyDescent="0.25">
      <c r="B13" s="159" t="s">
        <v>5</v>
      </c>
      <c r="C13" s="117">
        <v>117</v>
      </c>
      <c r="D13" s="244">
        <f>SUM(C13)/C14*100</f>
        <v>1.9993164730006836</v>
      </c>
      <c r="F13" s="161" t="s">
        <v>44</v>
      </c>
    </row>
    <row r="14" spans="2:6" ht="18.75" customHeight="1" x14ac:dyDescent="0.25">
      <c r="B14" s="160"/>
      <c r="C14" s="117">
        <v>5852</v>
      </c>
      <c r="D14" s="245"/>
      <c r="F14" s="162"/>
    </row>
    <row r="15" spans="2:6" ht="18.75" customHeight="1" x14ac:dyDescent="0.25">
      <c r="B15" s="159" t="s">
        <v>6</v>
      </c>
      <c r="C15" s="117">
        <v>935</v>
      </c>
      <c r="D15" s="244">
        <f>SUM(C15)/C16*100</f>
        <v>90.77669902912622</v>
      </c>
      <c r="F15" s="161" t="s">
        <v>44</v>
      </c>
    </row>
    <row r="16" spans="2:6" ht="18.75" customHeight="1" x14ac:dyDescent="0.25">
      <c r="B16" s="160"/>
      <c r="C16" s="117">
        <v>1030</v>
      </c>
      <c r="D16" s="245"/>
      <c r="F16" s="162"/>
    </row>
    <row r="17" spans="1:6" ht="18.75" customHeight="1" x14ac:dyDescent="0.25">
      <c r="B17" s="159" t="s">
        <v>7</v>
      </c>
      <c r="C17" s="117">
        <v>999</v>
      </c>
      <c r="D17" s="244">
        <f>SUM(C17)/C18*100</f>
        <v>100</v>
      </c>
      <c r="F17" s="161" t="s">
        <v>44</v>
      </c>
    </row>
    <row r="18" spans="1:6" ht="18.75" customHeight="1" x14ac:dyDescent="0.25">
      <c r="B18" s="160"/>
      <c r="C18" s="117">
        <v>999</v>
      </c>
      <c r="D18" s="245"/>
      <c r="F18" s="162"/>
    </row>
    <row r="19" spans="1:6" ht="18.75" customHeight="1" x14ac:dyDescent="0.25">
      <c r="B19" s="159" t="s">
        <v>8</v>
      </c>
      <c r="C19" s="117">
        <v>999</v>
      </c>
      <c r="D19" s="244">
        <f>SUM(C19)/C20*100</f>
        <v>94.602272727272734</v>
      </c>
      <c r="F19" s="161" t="s">
        <v>44</v>
      </c>
    </row>
    <row r="20" spans="1:6" ht="18.75" customHeight="1" x14ac:dyDescent="0.25">
      <c r="B20" s="160"/>
      <c r="C20" s="117">
        <v>1056</v>
      </c>
      <c r="D20" s="245"/>
      <c r="F20" s="162"/>
    </row>
    <row r="21" spans="1:6" ht="18.75" customHeight="1" x14ac:dyDescent="0.25">
      <c r="B21" s="159" t="s">
        <v>9</v>
      </c>
      <c r="C21" s="117">
        <v>2026</v>
      </c>
      <c r="D21" s="244">
        <f>SUM(C21)/C22*100</f>
        <v>87.402933563416738</v>
      </c>
      <c r="F21" s="161" t="s">
        <v>44</v>
      </c>
    </row>
    <row r="22" spans="1:6" ht="18.75" customHeight="1" x14ac:dyDescent="0.25">
      <c r="B22" s="160"/>
      <c r="C22" s="117">
        <v>2318</v>
      </c>
      <c r="D22" s="245"/>
      <c r="F22" s="162"/>
    </row>
    <row r="23" spans="1:6" ht="18.75" customHeight="1" x14ac:dyDescent="0.25">
      <c r="B23" s="159" t="s">
        <v>10</v>
      </c>
      <c r="C23" s="117">
        <v>143</v>
      </c>
      <c r="D23" s="244">
        <f>SUM(C23)/C24*100</f>
        <v>6.1691113028472824</v>
      </c>
      <c r="F23" s="161" t="s">
        <v>44</v>
      </c>
    </row>
    <row r="24" spans="1:6" ht="18.75" customHeight="1" x14ac:dyDescent="0.25">
      <c r="B24" s="160"/>
      <c r="C24" s="117">
        <v>2318</v>
      </c>
      <c r="D24" s="245"/>
      <c r="F24" s="162"/>
    </row>
    <row r="25" spans="1:6" ht="18.75" customHeight="1" x14ac:dyDescent="0.25">
      <c r="A25" s="168"/>
      <c r="B25" s="270" t="s">
        <v>63</v>
      </c>
      <c r="C25" s="117">
        <v>2318</v>
      </c>
      <c r="D25" s="244">
        <f>+C25/C26*100</f>
        <v>100</v>
      </c>
      <c r="F25" s="161" t="s">
        <v>64</v>
      </c>
    </row>
    <row r="26" spans="1:6" ht="18.75" customHeight="1" x14ac:dyDescent="0.25">
      <c r="A26" s="168"/>
      <c r="B26" s="271"/>
      <c r="C26" s="117">
        <v>2318</v>
      </c>
      <c r="D26" s="245"/>
      <c r="F26" s="162"/>
    </row>
    <row r="27" spans="1:6" ht="18.75" customHeight="1" x14ac:dyDescent="0.25">
      <c r="B27" s="270" t="s">
        <v>103</v>
      </c>
      <c r="C27" s="117">
        <v>36</v>
      </c>
      <c r="D27" s="244">
        <f>+C27/C28*100</f>
        <v>1.5530629853321829</v>
      </c>
      <c r="F27" s="161" t="s">
        <v>44</v>
      </c>
    </row>
    <row r="28" spans="1:6" ht="18.75" customHeight="1" x14ac:dyDescent="0.25">
      <c r="B28" s="271"/>
      <c r="C28" s="117">
        <v>2318</v>
      </c>
      <c r="D28" s="245"/>
      <c r="F28" s="162"/>
    </row>
    <row r="29" spans="1:6" ht="35.4" customHeight="1" x14ac:dyDescent="0.25">
      <c r="B29" s="50" t="s">
        <v>11</v>
      </c>
      <c r="C29" s="50" t="s">
        <v>2</v>
      </c>
      <c r="D29" s="50" t="s">
        <v>3</v>
      </c>
      <c r="F29" s="51" t="s">
        <v>43</v>
      </c>
    </row>
    <row r="30" spans="1:6" ht="18.75" customHeight="1" x14ac:dyDescent="0.25">
      <c r="B30" s="159" t="s">
        <v>12</v>
      </c>
      <c r="C30" s="117">
        <v>2318</v>
      </c>
      <c r="D30" s="246">
        <f>SUM(C30)/C31</f>
        <v>9.7805907172995781</v>
      </c>
      <c r="F30" s="261" t="s">
        <v>45</v>
      </c>
    </row>
    <row r="31" spans="1:6" ht="18.75" customHeight="1" x14ac:dyDescent="0.25">
      <c r="B31" s="160"/>
      <c r="C31" s="117">
        <v>237</v>
      </c>
      <c r="D31" s="247"/>
      <c r="F31" s="262"/>
    </row>
    <row r="32" spans="1:6" ht="18.75" customHeight="1" x14ac:dyDescent="0.25">
      <c r="B32" s="159" t="s">
        <v>13</v>
      </c>
      <c r="C32" s="117">
        <v>171</v>
      </c>
      <c r="D32" s="244">
        <f>SUM(C32)/C33*100</f>
        <v>72.151898734177209</v>
      </c>
      <c r="F32" s="261" t="s">
        <v>45</v>
      </c>
    </row>
    <row r="33" spans="2:6" ht="18.75" customHeight="1" x14ac:dyDescent="0.25">
      <c r="B33" s="160"/>
      <c r="C33" s="117">
        <v>237</v>
      </c>
      <c r="D33" s="245"/>
      <c r="F33" s="262"/>
    </row>
    <row r="34" spans="2:6" ht="18.75" customHeight="1" x14ac:dyDescent="0.25">
      <c r="B34" s="159" t="s">
        <v>14</v>
      </c>
      <c r="C34" s="117">
        <v>235</v>
      </c>
      <c r="D34" s="244">
        <f>SUM(C34)/C35*100</f>
        <v>99.156118143459921</v>
      </c>
      <c r="F34" s="261" t="s">
        <v>45</v>
      </c>
    </row>
    <row r="35" spans="2:6" ht="18.75" customHeight="1" x14ac:dyDescent="0.25">
      <c r="B35" s="160"/>
      <c r="C35" s="117">
        <v>237</v>
      </c>
      <c r="D35" s="245"/>
      <c r="F35" s="262"/>
    </row>
    <row r="36" spans="2:6" ht="18.75" customHeight="1" x14ac:dyDescent="0.25">
      <c r="B36" s="159" t="s">
        <v>15</v>
      </c>
      <c r="C36" s="117">
        <v>110</v>
      </c>
      <c r="D36" s="244">
        <f>SUM(C36)/C37*100</f>
        <v>46.413502109704638</v>
      </c>
      <c r="F36" s="261" t="s">
        <v>45</v>
      </c>
    </row>
    <row r="37" spans="2:6" ht="18.75" customHeight="1" x14ac:dyDescent="0.25">
      <c r="B37" s="160"/>
      <c r="C37" s="117">
        <v>237</v>
      </c>
      <c r="D37" s="245"/>
      <c r="F37" s="262"/>
    </row>
    <row r="38" spans="2:6" ht="18.75" customHeight="1" x14ac:dyDescent="0.25">
      <c r="B38" s="159" t="s">
        <v>16</v>
      </c>
      <c r="C38" s="117">
        <v>193</v>
      </c>
      <c r="D38" s="244">
        <f>SUM(C38)/C39*100</f>
        <v>81.434599156118153</v>
      </c>
      <c r="F38" s="261" t="s">
        <v>45</v>
      </c>
    </row>
    <row r="39" spans="2:6" ht="18.75" customHeight="1" x14ac:dyDescent="0.25">
      <c r="B39" s="160"/>
      <c r="C39" s="117">
        <v>237</v>
      </c>
      <c r="D39" s="245"/>
      <c r="F39" s="262"/>
    </row>
    <row r="40" spans="2:6" ht="18.75" customHeight="1" x14ac:dyDescent="0.25">
      <c r="B40" s="169" t="s">
        <v>17</v>
      </c>
      <c r="C40" s="117">
        <v>237</v>
      </c>
      <c r="D40" s="248">
        <f>+C40/C41*100</f>
        <v>100</v>
      </c>
      <c r="F40" s="261" t="s">
        <v>45</v>
      </c>
    </row>
    <row r="41" spans="2:6" ht="18.75" customHeight="1" x14ac:dyDescent="0.25">
      <c r="B41" s="170"/>
      <c r="C41" s="117">
        <v>237</v>
      </c>
      <c r="D41" s="249"/>
      <c r="F41" s="262"/>
    </row>
    <row r="42" spans="2:6" ht="35.4" customHeight="1" x14ac:dyDescent="0.25">
      <c r="B42" s="50" t="s">
        <v>18</v>
      </c>
      <c r="C42" s="50" t="s">
        <v>2</v>
      </c>
      <c r="D42" s="50" t="s">
        <v>3</v>
      </c>
      <c r="F42" s="51" t="s">
        <v>43</v>
      </c>
    </row>
    <row r="43" spans="2:6" ht="19.5" customHeight="1" x14ac:dyDescent="0.25">
      <c r="B43" s="159" t="s">
        <v>19</v>
      </c>
      <c r="C43" s="117">
        <v>999</v>
      </c>
      <c r="D43" s="244">
        <f>C43/C44*100</f>
        <v>94.602272727272734</v>
      </c>
      <c r="F43" s="161" t="s">
        <v>44</v>
      </c>
    </row>
    <row r="44" spans="2:6" ht="19.5" customHeight="1" x14ac:dyDescent="0.25">
      <c r="B44" s="160"/>
      <c r="C44" s="117">
        <v>1056</v>
      </c>
      <c r="D44" s="245"/>
      <c r="F44" s="162"/>
    </row>
    <row r="45" spans="2:6" ht="19.5" customHeight="1" x14ac:dyDescent="0.25">
      <c r="B45" s="159" t="s">
        <v>21</v>
      </c>
      <c r="C45" s="117">
        <v>1794</v>
      </c>
      <c r="D45" s="244">
        <f>SUM(C45)/C46*100</f>
        <v>26.212741087083575</v>
      </c>
      <c r="F45" s="261" t="s">
        <v>46</v>
      </c>
    </row>
    <row r="46" spans="2:6" ht="19.5" customHeight="1" x14ac:dyDescent="0.25">
      <c r="B46" s="160"/>
      <c r="C46" s="117">
        <v>6844</v>
      </c>
      <c r="D46" s="245"/>
      <c r="F46" s="262"/>
    </row>
    <row r="47" spans="2:6" ht="19.5" customHeight="1" x14ac:dyDescent="0.25">
      <c r="B47" s="159" t="s">
        <v>22</v>
      </c>
      <c r="C47" s="117">
        <v>1369</v>
      </c>
      <c r="D47" s="244">
        <f>SUM(C47)/C48*100</f>
        <v>20.002922267679722</v>
      </c>
      <c r="F47" s="261" t="s">
        <v>46</v>
      </c>
    </row>
    <row r="48" spans="2:6" ht="19.5" customHeight="1" x14ac:dyDescent="0.25">
      <c r="B48" s="160"/>
      <c r="C48" s="117">
        <v>6844</v>
      </c>
      <c r="D48" s="245"/>
      <c r="F48" s="262"/>
    </row>
    <row r="49" spans="2:6" ht="19.5" customHeight="1" x14ac:dyDescent="0.25">
      <c r="B49" s="159" t="s">
        <v>23</v>
      </c>
      <c r="C49" s="117">
        <v>1274</v>
      </c>
      <c r="D49" s="244">
        <f>SUM(C49)/C50*100</f>
        <v>54.961173425366695</v>
      </c>
      <c r="F49" s="261" t="s">
        <v>56</v>
      </c>
    </row>
    <row r="50" spans="2:6" ht="19.5" customHeight="1" x14ac:dyDescent="0.25">
      <c r="B50" s="160"/>
      <c r="C50" s="117">
        <v>2318</v>
      </c>
      <c r="D50" s="245"/>
      <c r="F50" s="262"/>
    </row>
    <row r="51" spans="2:6" ht="19.5" customHeight="1" x14ac:dyDescent="0.25">
      <c r="B51" s="159" t="s">
        <v>24</v>
      </c>
      <c r="C51" s="117">
        <v>2163</v>
      </c>
      <c r="D51" s="244">
        <f>SUM(C51)/C52*100</f>
        <v>93.313201035375329</v>
      </c>
      <c r="F51" s="261" t="s">
        <v>56</v>
      </c>
    </row>
    <row r="52" spans="2:6" ht="19.5" customHeight="1" x14ac:dyDescent="0.25">
      <c r="B52" s="160"/>
      <c r="C52" s="117">
        <v>2318</v>
      </c>
      <c r="D52" s="245"/>
      <c r="F52" s="262"/>
    </row>
    <row r="53" spans="2:6" ht="19.5" customHeight="1" x14ac:dyDescent="0.25">
      <c r="B53" s="159" t="s">
        <v>25</v>
      </c>
      <c r="C53" s="117">
        <f>6+428+21</f>
        <v>455</v>
      </c>
      <c r="D53" s="244">
        <f>+C53/C54*100</f>
        <v>51.41242937853108</v>
      </c>
      <c r="F53" s="261" t="s">
        <v>47</v>
      </c>
    </row>
    <row r="54" spans="2:6" ht="19.5" customHeight="1" x14ac:dyDescent="0.25">
      <c r="B54" s="160"/>
      <c r="C54" s="117">
        <f>6+858+21</f>
        <v>885</v>
      </c>
      <c r="D54" s="245"/>
      <c r="F54" s="262"/>
    </row>
    <row r="55" spans="2:6" ht="19.5" customHeight="1" x14ac:dyDescent="0.25">
      <c r="B55" s="159" t="s">
        <v>26</v>
      </c>
      <c r="C55" s="117">
        <v>61</v>
      </c>
      <c r="D55" s="244">
        <f>SUM(C55)/C56*100</f>
        <v>100</v>
      </c>
      <c r="F55" s="261" t="s">
        <v>48</v>
      </c>
    </row>
    <row r="56" spans="2:6" ht="19.5" customHeight="1" x14ac:dyDescent="0.25">
      <c r="B56" s="160"/>
      <c r="C56" s="117">
        <v>61</v>
      </c>
      <c r="D56" s="245"/>
      <c r="F56" s="262"/>
    </row>
    <row r="57" spans="2:6" ht="35.4" customHeight="1" x14ac:dyDescent="0.25">
      <c r="B57" s="50" t="s">
        <v>27</v>
      </c>
      <c r="C57" s="50" t="s">
        <v>2</v>
      </c>
      <c r="D57" s="50" t="s">
        <v>3</v>
      </c>
      <c r="F57" s="51" t="s">
        <v>43</v>
      </c>
    </row>
    <row r="58" spans="2:6" ht="19.5" customHeight="1" x14ac:dyDescent="0.25">
      <c r="B58" s="159" t="s">
        <v>28</v>
      </c>
      <c r="C58" s="121">
        <v>489</v>
      </c>
      <c r="D58" s="250">
        <f>SUM(C58)/C59*100</f>
        <v>21.095772217428816</v>
      </c>
      <c r="F58" s="261" t="s">
        <v>49</v>
      </c>
    </row>
    <row r="59" spans="2:6" ht="19.5" customHeight="1" x14ac:dyDescent="0.25">
      <c r="B59" s="160"/>
      <c r="C59" s="119">
        <v>2318</v>
      </c>
      <c r="D59" s="251"/>
      <c r="F59" s="262"/>
    </row>
    <row r="60" spans="2:6" ht="19.5" customHeight="1" x14ac:dyDescent="0.25">
      <c r="B60" s="159" t="s">
        <v>29</v>
      </c>
      <c r="C60" s="119">
        <v>22</v>
      </c>
      <c r="D60" s="250">
        <f>SUM(C60)/C61*100</f>
        <v>20.37037037037037</v>
      </c>
      <c r="F60" s="261" t="s">
        <v>49</v>
      </c>
    </row>
    <row r="61" spans="2:6" ht="19.5" customHeight="1" x14ac:dyDescent="0.25">
      <c r="B61" s="160"/>
      <c r="C61" s="119">
        <v>108</v>
      </c>
      <c r="D61" s="251"/>
      <c r="F61" s="262"/>
    </row>
    <row r="62" spans="2:6" ht="19.5" customHeight="1" x14ac:dyDescent="0.25">
      <c r="B62" s="159" t="s">
        <v>30</v>
      </c>
      <c r="C62" s="119">
        <v>5</v>
      </c>
      <c r="D62" s="250">
        <f>SUM(C62)/C63*100</f>
        <v>4.6296296296296298</v>
      </c>
      <c r="F62" s="261" t="s">
        <v>49</v>
      </c>
    </row>
    <row r="63" spans="2:6" ht="19.5" customHeight="1" x14ac:dyDescent="0.25">
      <c r="B63" s="160"/>
      <c r="C63" s="119">
        <v>108</v>
      </c>
      <c r="D63" s="251"/>
      <c r="F63" s="262"/>
    </row>
    <row r="64" spans="2:6" ht="19.5" customHeight="1" x14ac:dyDescent="0.25">
      <c r="B64" s="159" t="s">
        <v>31</v>
      </c>
      <c r="C64" s="119">
        <v>2517920.6396000003</v>
      </c>
      <c r="D64" s="250">
        <f>SUM(C64)/C65*100</f>
        <v>2.0170489745954692</v>
      </c>
      <c r="F64" s="124" t="s">
        <v>136</v>
      </c>
    </row>
    <row r="65" spans="2:8" ht="19.5" customHeight="1" x14ac:dyDescent="0.25">
      <c r="B65" s="160"/>
      <c r="C65" s="119">
        <v>124831904</v>
      </c>
      <c r="D65" s="251"/>
      <c r="F65" s="125" t="s">
        <v>53</v>
      </c>
    </row>
    <row r="66" spans="2:8" ht="35.4" customHeight="1" x14ac:dyDescent="0.25">
      <c r="B66" s="50" t="s">
        <v>32</v>
      </c>
      <c r="C66" s="50" t="s">
        <v>2</v>
      </c>
      <c r="D66" s="50" t="s">
        <v>3</v>
      </c>
      <c r="F66" s="51" t="s">
        <v>43</v>
      </c>
    </row>
    <row r="67" spans="2:8" ht="18.75" customHeight="1" x14ac:dyDescent="0.25">
      <c r="B67" s="159" t="s">
        <v>33</v>
      </c>
      <c r="C67" s="116"/>
      <c r="D67" s="257" t="s">
        <v>20</v>
      </c>
      <c r="F67" s="124" t="s">
        <v>138</v>
      </c>
    </row>
    <row r="68" spans="2:8" ht="18.75" customHeight="1" x14ac:dyDescent="0.25">
      <c r="B68" s="160"/>
      <c r="C68" s="116"/>
      <c r="D68" s="258"/>
      <c r="F68" s="125" t="s">
        <v>135</v>
      </c>
    </row>
    <row r="69" spans="2:8" ht="18.75" customHeight="1" x14ac:dyDescent="0.25">
      <c r="B69" s="159" t="s">
        <v>34</v>
      </c>
      <c r="C69" s="117">
        <v>78</v>
      </c>
      <c r="D69" s="244">
        <f>SUM(C69)/C70*100</f>
        <v>100</v>
      </c>
      <c r="F69" s="128" t="s">
        <v>136</v>
      </c>
      <c r="H69" s="242"/>
    </row>
    <row r="70" spans="2:8" ht="18.75" customHeight="1" x14ac:dyDescent="0.25">
      <c r="B70" s="160"/>
      <c r="C70" s="117">
        <v>78</v>
      </c>
      <c r="D70" s="245"/>
      <c r="F70" s="125" t="s">
        <v>50</v>
      </c>
      <c r="H70" s="242"/>
    </row>
    <row r="71" spans="2:8" ht="18.75" customHeight="1" x14ac:dyDescent="0.25">
      <c r="B71" s="159" t="s">
        <v>35</v>
      </c>
      <c r="C71" s="117">
        <v>10868</v>
      </c>
      <c r="D71" s="256">
        <f>SUM(C71)/C72</f>
        <v>8.5306122448979593</v>
      </c>
      <c r="F71" s="265" t="s">
        <v>51</v>
      </c>
      <c r="H71" s="56"/>
    </row>
    <row r="72" spans="2:8" ht="18.75" customHeight="1" x14ac:dyDescent="0.25">
      <c r="B72" s="160"/>
      <c r="C72" s="118">
        <v>1274</v>
      </c>
      <c r="D72" s="256"/>
      <c r="F72" s="265"/>
    </row>
    <row r="73" spans="2:8" ht="18.75" customHeight="1" x14ac:dyDescent="0.25">
      <c r="B73" s="159" t="s">
        <v>36</v>
      </c>
      <c r="C73" s="117">
        <v>2318</v>
      </c>
      <c r="D73" s="246">
        <f>SUM(C73)/C74</f>
        <v>6.8377581120943951</v>
      </c>
      <c r="F73" s="263" t="s">
        <v>52</v>
      </c>
    </row>
    <row r="74" spans="2:8" ht="18.75" customHeight="1" x14ac:dyDescent="0.25">
      <c r="B74" s="160"/>
      <c r="C74" s="117">
        <v>339</v>
      </c>
      <c r="D74" s="247"/>
      <c r="F74" s="264"/>
    </row>
    <row r="75" spans="2:8" ht="18.75" customHeight="1" x14ac:dyDescent="0.25">
      <c r="B75" s="159" t="s">
        <v>37</v>
      </c>
      <c r="C75" s="117">
        <v>2318</v>
      </c>
      <c r="D75" s="246">
        <f>SUM(C75)/C76</f>
        <v>17.428571428571427</v>
      </c>
      <c r="F75" s="261" t="s">
        <v>45</v>
      </c>
    </row>
    <row r="76" spans="2:8" ht="18.75" customHeight="1" x14ac:dyDescent="0.25">
      <c r="B76" s="160"/>
      <c r="C76" s="117">
        <v>133</v>
      </c>
      <c r="D76" s="247"/>
      <c r="F76" s="262"/>
    </row>
    <row r="77" spans="2:8" ht="18.75" customHeight="1" x14ac:dyDescent="0.25">
      <c r="B77" s="159" t="s">
        <v>38</v>
      </c>
      <c r="C77" s="117">
        <v>123</v>
      </c>
      <c r="D77" s="244">
        <f>SUM(C77)/C78*100</f>
        <v>92.481203007518801</v>
      </c>
      <c r="F77" s="261" t="s">
        <v>45</v>
      </c>
    </row>
    <row r="78" spans="2:8" ht="18.75" customHeight="1" x14ac:dyDescent="0.25">
      <c r="B78" s="160"/>
      <c r="C78" s="117">
        <v>133</v>
      </c>
      <c r="D78" s="245"/>
      <c r="F78" s="262"/>
    </row>
    <row r="79" spans="2:8" ht="18.75" customHeight="1" x14ac:dyDescent="0.25">
      <c r="B79" s="159" t="s">
        <v>39</v>
      </c>
      <c r="C79" s="120">
        <v>42289581.159999996</v>
      </c>
      <c r="D79" s="244">
        <f>SUM(C79)/C80/1000</f>
        <v>18.243995323554788</v>
      </c>
      <c r="F79" s="261" t="s">
        <v>53</v>
      </c>
    </row>
    <row r="80" spans="2:8" ht="18.75" customHeight="1" x14ac:dyDescent="0.25">
      <c r="B80" s="160"/>
      <c r="C80" s="117">
        <v>2318</v>
      </c>
      <c r="D80" s="245"/>
      <c r="F80" s="262"/>
    </row>
    <row r="81" spans="2:6" x14ac:dyDescent="0.25">
      <c r="B81" s="57"/>
      <c r="C81" s="57"/>
      <c r="D81" s="57"/>
      <c r="F81" s="57"/>
    </row>
    <row r="82" spans="2:6" ht="109.2" customHeight="1" x14ac:dyDescent="0.5">
      <c r="B82" s="58" t="s">
        <v>61</v>
      </c>
    </row>
    <row r="83" spans="2:6" x14ac:dyDescent="0.25">
      <c r="B83" s="59" t="s">
        <v>60</v>
      </c>
      <c r="C83" s="165"/>
      <c r="D83" s="165"/>
    </row>
  </sheetData>
  <mergeCells count="105">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B23:B24"/>
    <mergeCell ref="D23:D24"/>
    <mergeCell ref="F23:F24"/>
    <mergeCell ref="A25:A26"/>
    <mergeCell ref="B25:B26"/>
    <mergeCell ref="D25:D26"/>
    <mergeCell ref="F25:F26"/>
    <mergeCell ref="B19:B20"/>
    <mergeCell ref="D19:D20"/>
    <mergeCell ref="F19:F20"/>
    <mergeCell ref="B21:B22"/>
    <mergeCell ref="D21:D22"/>
    <mergeCell ref="F21:F22"/>
    <mergeCell ref="B32:B33"/>
    <mergeCell ref="D32:D33"/>
    <mergeCell ref="F32:F33"/>
    <mergeCell ref="B34:B35"/>
    <mergeCell ref="D34:D35"/>
    <mergeCell ref="F34:F35"/>
    <mergeCell ref="B27:B28"/>
    <mergeCell ref="D27:D28"/>
    <mergeCell ref="F27:F28"/>
    <mergeCell ref="B30:B31"/>
    <mergeCell ref="D30:D31"/>
    <mergeCell ref="F30:F31"/>
    <mergeCell ref="B40:B41"/>
    <mergeCell ref="D40:D41"/>
    <mergeCell ref="F40:F41"/>
    <mergeCell ref="B43:B44"/>
    <mergeCell ref="D43:D44"/>
    <mergeCell ref="F43:F44"/>
    <mergeCell ref="B36:B37"/>
    <mergeCell ref="D36:D37"/>
    <mergeCell ref="F36:F37"/>
    <mergeCell ref="B38:B39"/>
    <mergeCell ref="D38:D39"/>
    <mergeCell ref="F38:F39"/>
    <mergeCell ref="B49:B50"/>
    <mergeCell ref="D49:D50"/>
    <mergeCell ref="F49:F50"/>
    <mergeCell ref="B51:B52"/>
    <mergeCell ref="D51:D52"/>
    <mergeCell ref="F51:F52"/>
    <mergeCell ref="B45:B46"/>
    <mergeCell ref="D45:D46"/>
    <mergeCell ref="F45:F46"/>
    <mergeCell ref="B47:B48"/>
    <mergeCell ref="D47:D48"/>
    <mergeCell ref="F47:F48"/>
    <mergeCell ref="B58:B59"/>
    <mergeCell ref="D58:D59"/>
    <mergeCell ref="F58:F59"/>
    <mergeCell ref="B60:B61"/>
    <mergeCell ref="D60:D61"/>
    <mergeCell ref="F60:F61"/>
    <mergeCell ref="B53:B54"/>
    <mergeCell ref="D53:D54"/>
    <mergeCell ref="F53:F54"/>
    <mergeCell ref="B55:B56"/>
    <mergeCell ref="D55:D56"/>
    <mergeCell ref="F55:F56"/>
    <mergeCell ref="B69:B70"/>
    <mergeCell ref="D69:D70"/>
    <mergeCell ref="H69:H70"/>
    <mergeCell ref="B71:B72"/>
    <mergeCell ref="D71:D72"/>
    <mergeCell ref="F71:F72"/>
    <mergeCell ref="B62:B63"/>
    <mergeCell ref="D62:D63"/>
    <mergeCell ref="F62:F63"/>
    <mergeCell ref="B64:B65"/>
    <mergeCell ref="D64:D65"/>
    <mergeCell ref="B67:B68"/>
    <mergeCell ref="D67:D68"/>
    <mergeCell ref="C83:D83"/>
    <mergeCell ref="B77:B78"/>
    <mergeCell ref="D77:D78"/>
    <mergeCell ref="F77:F78"/>
    <mergeCell ref="B79:B80"/>
    <mergeCell ref="D79:D80"/>
    <mergeCell ref="F79:F80"/>
    <mergeCell ref="B73:B74"/>
    <mergeCell ref="D73:D74"/>
    <mergeCell ref="F73:F74"/>
    <mergeCell ref="B75:B76"/>
    <mergeCell ref="D75:D76"/>
    <mergeCell ref="F75:F76"/>
  </mergeCells>
  <printOptions horizontalCentered="1" verticalCentered="1"/>
  <pageMargins left="0.39370078740157483" right="0.39370078740157483" top="0.39370078740157483" bottom="0.39370078740157483" header="0.31496062992125984" footer="0.31496062992125984"/>
  <pageSetup scale="4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4:H83"/>
  <sheetViews>
    <sheetView topLeftCell="A43" zoomScale="90" zoomScaleNormal="90" zoomScaleSheetLayoutView="75" workbookViewId="0">
      <selection activeCell="B60" sqref="B60:B61"/>
    </sheetView>
  </sheetViews>
  <sheetFormatPr baseColWidth="10" defaultColWidth="11.5546875" defaultRowHeight="18" x14ac:dyDescent="0.25"/>
  <cols>
    <col min="1" max="1" width="2.88671875" style="49" customWidth="1"/>
    <col min="2" max="2" width="77.6640625" style="49" customWidth="1"/>
    <col min="3" max="3" width="15.88671875" style="49" customWidth="1"/>
    <col min="4" max="4" width="14.6640625" style="49" customWidth="1"/>
    <col min="5" max="5" width="3.6640625" style="48" customWidth="1"/>
    <col min="6" max="6" width="24.33203125" style="49" customWidth="1"/>
    <col min="7" max="7" width="2.6640625" style="49" customWidth="1"/>
    <col min="8" max="8" width="58.6640625" style="49" customWidth="1"/>
    <col min="9" max="16384" width="11.5546875" style="49"/>
  </cols>
  <sheetData>
    <row r="4" spans="2:8" ht="25.2" x14ac:dyDescent="0.25">
      <c r="B4" s="46"/>
      <c r="C4" s="47"/>
      <c r="D4" s="47"/>
      <c r="F4" s="47"/>
    </row>
    <row r="5" spans="2:8" ht="99" customHeight="1" x14ac:dyDescent="0.25">
      <c r="B5" s="154" t="s">
        <v>186</v>
      </c>
      <c r="C5" s="154"/>
      <c r="D5" s="154"/>
      <c r="H5" s="129" t="s">
        <v>191</v>
      </c>
    </row>
    <row r="6" spans="2:8" ht="25.2" x14ac:dyDescent="0.25">
      <c r="B6" s="155" t="s">
        <v>0</v>
      </c>
      <c r="C6" s="156"/>
      <c r="D6" s="157"/>
    </row>
    <row r="7" spans="2:8" ht="36" customHeight="1" x14ac:dyDescent="0.25">
      <c r="B7" s="158" t="s">
        <v>189</v>
      </c>
      <c r="C7" s="158"/>
      <c r="D7" s="158"/>
    </row>
    <row r="8" spans="2:8" ht="35.4" customHeight="1" x14ac:dyDescent="0.25">
      <c r="B8" s="50" t="s">
        <v>1</v>
      </c>
      <c r="C8" s="50" t="s">
        <v>2</v>
      </c>
      <c r="D8" s="50" t="s">
        <v>3</v>
      </c>
      <c r="F8" s="51" t="s">
        <v>43</v>
      </c>
    </row>
    <row r="9" spans="2:8" ht="18.75" customHeight="1" x14ac:dyDescent="0.25">
      <c r="B9" s="159" t="s">
        <v>190</v>
      </c>
      <c r="C9" s="117">
        <v>6</v>
      </c>
      <c r="D9" s="244">
        <f>SUM(C9)/C10*100</f>
        <v>100</v>
      </c>
      <c r="F9" s="161" t="s">
        <v>44</v>
      </c>
    </row>
    <row r="10" spans="2:8" ht="18.75" customHeight="1" x14ac:dyDescent="0.25">
      <c r="B10" s="160"/>
      <c r="C10" s="117">
        <v>6</v>
      </c>
      <c r="D10" s="245"/>
      <c r="F10" s="162"/>
    </row>
    <row r="11" spans="2:8" ht="18.75" customHeight="1" x14ac:dyDescent="0.25">
      <c r="B11" s="159" t="s">
        <v>4</v>
      </c>
      <c r="C11" s="117">
        <v>0</v>
      </c>
      <c r="D11" s="244">
        <f>SUM(C11)/C12*100</f>
        <v>0</v>
      </c>
      <c r="F11" s="161" t="s">
        <v>44</v>
      </c>
    </row>
    <row r="12" spans="2:8" ht="18.75" customHeight="1" x14ac:dyDescent="0.25">
      <c r="B12" s="160"/>
      <c r="C12" s="117">
        <v>6</v>
      </c>
      <c r="D12" s="245"/>
      <c r="F12" s="162"/>
    </row>
    <row r="13" spans="2:8" ht="18.75" customHeight="1" x14ac:dyDescent="0.25">
      <c r="B13" s="159" t="s">
        <v>5</v>
      </c>
      <c r="C13" s="117">
        <f>0+0+0</f>
        <v>0</v>
      </c>
      <c r="D13" s="244">
        <f>SUM(C13)/C14*100</f>
        <v>0</v>
      </c>
      <c r="F13" s="161" t="s">
        <v>44</v>
      </c>
    </row>
    <row r="14" spans="2:8" ht="18.75" customHeight="1" x14ac:dyDescent="0.25">
      <c r="B14" s="160"/>
      <c r="C14" s="117">
        <f>6+6+6</f>
        <v>18</v>
      </c>
      <c r="D14" s="245"/>
      <c r="F14" s="162"/>
    </row>
    <row r="15" spans="2:8" ht="18.75" customHeight="1" x14ac:dyDescent="0.25">
      <c r="B15" s="159" t="s">
        <v>6</v>
      </c>
      <c r="C15" s="117">
        <v>0</v>
      </c>
      <c r="D15" s="244">
        <f>IFERROR(SUM(C15)/C16*100,0)</f>
        <v>0</v>
      </c>
      <c r="F15" s="161" t="s">
        <v>44</v>
      </c>
    </row>
    <row r="16" spans="2:8" ht="18.75" customHeight="1" x14ac:dyDescent="0.25">
      <c r="B16" s="160"/>
      <c r="C16" s="117">
        <v>0</v>
      </c>
      <c r="D16" s="245"/>
      <c r="F16" s="162"/>
    </row>
    <row r="17" spans="1:6" ht="18.75" customHeight="1" x14ac:dyDescent="0.25">
      <c r="B17" s="159" t="s">
        <v>7</v>
      </c>
      <c r="C17" s="117">
        <v>0</v>
      </c>
      <c r="D17" s="244">
        <f>IFERROR(SUM(C17)/C18*100,0)</f>
        <v>0</v>
      </c>
      <c r="F17" s="161" t="s">
        <v>44</v>
      </c>
    </row>
    <row r="18" spans="1:6" ht="18.75" customHeight="1" x14ac:dyDescent="0.25">
      <c r="B18" s="160"/>
      <c r="C18" s="117">
        <v>0</v>
      </c>
      <c r="D18" s="245"/>
      <c r="F18" s="162"/>
    </row>
    <row r="19" spans="1:6" ht="18.75" customHeight="1" x14ac:dyDescent="0.25">
      <c r="B19" s="159" t="s">
        <v>8</v>
      </c>
      <c r="C19" s="117">
        <v>0</v>
      </c>
      <c r="D19" s="244">
        <f>IFERROR(SUM(C19)/C20*100,0)</f>
        <v>0</v>
      </c>
      <c r="F19" s="161" t="s">
        <v>44</v>
      </c>
    </row>
    <row r="20" spans="1:6" ht="18.75" customHeight="1" x14ac:dyDescent="0.25">
      <c r="B20" s="160"/>
      <c r="C20" s="117">
        <v>0</v>
      </c>
      <c r="D20" s="245"/>
      <c r="F20" s="162"/>
    </row>
    <row r="21" spans="1:6" ht="18.75" customHeight="1" x14ac:dyDescent="0.25">
      <c r="B21" s="159" t="s">
        <v>9</v>
      </c>
      <c r="C21" s="117">
        <v>1</v>
      </c>
      <c r="D21" s="244">
        <f>SUM(C21)/C22*100</f>
        <v>16.666666666666664</v>
      </c>
      <c r="F21" s="161" t="s">
        <v>44</v>
      </c>
    </row>
    <row r="22" spans="1:6" ht="18.75" customHeight="1" x14ac:dyDescent="0.25">
      <c r="B22" s="160"/>
      <c r="C22" s="117">
        <v>6</v>
      </c>
      <c r="D22" s="245"/>
      <c r="F22" s="162"/>
    </row>
    <row r="23" spans="1:6" ht="18.75" customHeight="1" x14ac:dyDescent="0.25">
      <c r="B23" s="159" t="s">
        <v>10</v>
      </c>
      <c r="C23" s="117">
        <v>0</v>
      </c>
      <c r="D23" s="244">
        <f>SUM(C23)/C24*100</f>
        <v>0</v>
      </c>
      <c r="F23" s="161" t="s">
        <v>44</v>
      </c>
    </row>
    <row r="24" spans="1:6" ht="18.75" customHeight="1" x14ac:dyDescent="0.25">
      <c r="B24" s="160"/>
      <c r="C24" s="117">
        <v>6</v>
      </c>
      <c r="D24" s="245"/>
      <c r="F24" s="162"/>
    </row>
    <row r="25" spans="1:6" ht="18.75" customHeight="1" x14ac:dyDescent="0.25">
      <c r="A25" s="168"/>
      <c r="B25" s="270" t="s">
        <v>63</v>
      </c>
      <c r="C25" s="117">
        <v>6</v>
      </c>
      <c r="D25" s="244">
        <f>+C25/C26*100</f>
        <v>100</v>
      </c>
      <c r="F25" s="161" t="s">
        <v>64</v>
      </c>
    </row>
    <row r="26" spans="1:6" ht="18.75" customHeight="1" x14ac:dyDescent="0.25">
      <c r="A26" s="168"/>
      <c r="B26" s="271"/>
      <c r="C26" s="117">
        <v>6</v>
      </c>
      <c r="D26" s="245"/>
      <c r="F26" s="162"/>
    </row>
    <row r="27" spans="1:6" ht="18.75" customHeight="1" x14ac:dyDescent="0.25">
      <c r="B27" s="270" t="s">
        <v>103</v>
      </c>
      <c r="C27" s="117">
        <v>0</v>
      </c>
      <c r="D27" s="244">
        <f>+C27/C28*100</f>
        <v>0</v>
      </c>
      <c r="F27" s="161" t="s">
        <v>44</v>
      </c>
    </row>
    <row r="28" spans="1:6" ht="18.75" customHeight="1" x14ac:dyDescent="0.25">
      <c r="B28" s="271"/>
      <c r="C28" s="117">
        <v>6</v>
      </c>
      <c r="D28" s="245"/>
      <c r="F28" s="162"/>
    </row>
    <row r="29" spans="1:6" ht="35.4" customHeight="1" x14ac:dyDescent="0.25">
      <c r="B29" s="50" t="s">
        <v>11</v>
      </c>
      <c r="C29" s="50" t="s">
        <v>2</v>
      </c>
      <c r="D29" s="50" t="s">
        <v>3</v>
      </c>
      <c r="F29" s="51" t="s">
        <v>43</v>
      </c>
    </row>
    <row r="30" spans="1:6" ht="18.75" customHeight="1" x14ac:dyDescent="0.25">
      <c r="B30" s="159" t="s">
        <v>12</v>
      </c>
      <c r="C30" s="117">
        <v>6</v>
      </c>
      <c r="D30" s="246">
        <f>SUM(C30)/C31</f>
        <v>2.5316455696202531E-2</v>
      </c>
      <c r="F30" s="261" t="s">
        <v>45</v>
      </c>
    </row>
    <row r="31" spans="1:6" ht="18.75" customHeight="1" x14ac:dyDescent="0.25">
      <c r="B31" s="160"/>
      <c r="C31" s="117">
        <v>237</v>
      </c>
      <c r="D31" s="247"/>
      <c r="F31" s="262"/>
    </row>
    <row r="32" spans="1:6" ht="18.75" customHeight="1" x14ac:dyDescent="0.25">
      <c r="B32" s="159" t="s">
        <v>13</v>
      </c>
      <c r="C32" s="117">
        <v>171</v>
      </c>
      <c r="D32" s="244">
        <f>SUM(C32)/C33*100</f>
        <v>72.151898734177209</v>
      </c>
      <c r="F32" s="261" t="s">
        <v>45</v>
      </c>
    </row>
    <row r="33" spans="2:6" ht="18.75" customHeight="1" x14ac:dyDescent="0.25">
      <c r="B33" s="160"/>
      <c r="C33" s="117">
        <v>237</v>
      </c>
      <c r="D33" s="245"/>
      <c r="F33" s="262"/>
    </row>
    <row r="34" spans="2:6" ht="18.75" customHeight="1" x14ac:dyDescent="0.25">
      <c r="B34" s="159" t="s">
        <v>14</v>
      </c>
      <c r="C34" s="117">
        <v>235</v>
      </c>
      <c r="D34" s="244">
        <f>SUM(C34)/C35*100</f>
        <v>99.156118143459921</v>
      </c>
      <c r="F34" s="261" t="s">
        <v>45</v>
      </c>
    </row>
    <row r="35" spans="2:6" ht="18.75" customHeight="1" x14ac:dyDescent="0.25">
      <c r="B35" s="160"/>
      <c r="C35" s="117">
        <v>237</v>
      </c>
      <c r="D35" s="245"/>
      <c r="F35" s="262"/>
    </row>
    <row r="36" spans="2:6" ht="18.75" customHeight="1" x14ac:dyDescent="0.25">
      <c r="B36" s="159" t="s">
        <v>15</v>
      </c>
      <c r="C36" s="117">
        <v>110</v>
      </c>
      <c r="D36" s="244">
        <f>SUM(C36)/C37*100</f>
        <v>46.413502109704638</v>
      </c>
      <c r="F36" s="261" t="s">
        <v>45</v>
      </c>
    </row>
    <row r="37" spans="2:6" ht="18.75" customHeight="1" x14ac:dyDescent="0.25">
      <c r="B37" s="160"/>
      <c r="C37" s="117">
        <v>237</v>
      </c>
      <c r="D37" s="245"/>
      <c r="F37" s="262"/>
    </row>
    <row r="38" spans="2:6" ht="18.75" customHeight="1" x14ac:dyDescent="0.25">
      <c r="B38" s="159" t="s">
        <v>16</v>
      </c>
      <c r="C38" s="117">
        <v>193</v>
      </c>
      <c r="D38" s="244">
        <f>SUM(C38)/C39*100</f>
        <v>81.434599156118153</v>
      </c>
      <c r="F38" s="261" t="s">
        <v>45</v>
      </c>
    </row>
    <row r="39" spans="2:6" ht="18.75" customHeight="1" x14ac:dyDescent="0.25">
      <c r="B39" s="160"/>
      <c r="C39" s="117">
        <v>237</v>
      </c>
      <c r="D39" s="245"/>
      <c r="F39" s="262"/>
    </row>
    <row r="40" spans="2:6" ht="18.75" customHeight="1" x14ac:dyDescent="0.25">
      <c r="B40" s="169" t="s">
        <v>17</v>
      </c>
      <c r="C40" s="117">
        <v>237</v>
      </c>
      <c r="D40" s="248">
        <f>+C40/C41*100</f>
        <v>100</v>
      </c>
      <c r="F40" s="261" t="s">
        <v>45</v>
      </c>
    </row>
    <row r="41" spans="2:6" ht="18.75" customHeight="1" x14ac:dyDescent="0.25">
      <c r="B41" s="170"/>
      <c r="C41" s="117">
        <v>237</v>
      </c>
      <c r="D41" s="249"/>
      <c r="F41" s="262"/>
    </row>
    <row r="42" spans="2:6" ht="35.4" customHeight="1" x14ac:dyDescent="0.25">
      <c r="B42" s="50" t="s">
        <v>18</v>
      </c>
      <c r="C42" s="50" t="s">
        <v>2</v>
      </c>
      <c r="D42" s="50" t="s">
        <v>3</v>
      </c>
      <c r="F42" s="51" t="s">
        <v>43</v>
      </c>
    </row>
    <row r="43" spans="2:6" ht="19.5" customHeight="1" x14ac:dyDescent="0.25">
      <c r="B43" s="159" t="s">
        <v>19</v>
      </c>
      <c r="C43" s="117">
        <v>0</v>
      </c>
      <c r="D43" s="244" t="e">
        <f>C43/C44*100</f>
        <v>#DIV/0!</v>
      </c>
      <c r="F43" s="161" t="s">
        <v>44</v>
      </c>
    </row>
    <row r="44" spans="2:6" ht="19.5" customHeight="1" x14ac:dyDescent="0.25">
      <c r="B44" s="160"/>
      <c r="C44" s="117">
        <v>0</v>
      </c>
      <c r="D44" s="245"/>
      <c r="F44" s="162"/>
    </row>
    <row r="45" spans="2:6" ht="19.5" customHeight="1" x14ac:dyDescent="0.25">
      <c r="B45" s="159" t="s">
        <v>21</v>
      </c>
      <c r="C45" s="137" t="s">
        <v>193</v>
      </c>
      <c r="D45" s="268" t="e">
        <f>SUM(C45)/C46*100</f>
        <v>#VALUE!</v>
      </c>
      <c r="F45" s="261" t="s">
        <v>46</v>
      </c>
    </row>
    <row r="46" spans="2:6" ht="19.5" customHeight="1" x14ac:dyDescent="0.25">
      <c r="B46" s="160"/>
      <c r="C46" s="137" t="s">
        <v>193</v>
      </c>
      <c r="D46" s="269"/>
      <c r="F46" s="262"/>
    </row>
    <row r="47" spans="2:6" ht="19.5" customHeight="1" x14ac:dyDescent="0.25">
      <c r="B47" s="159" t="s">
        <v>22</v>
      </c>
      <c r="C47" s="137" t="s">
        <v>193</v>
      </c>
      <c r="D47" s="268" t="e">
        <f>SUM(C47)/C48*100</f>
        <v>#VALUE!</v>
      </c>
      <c r="F47" s="261" t="s">
        <v>46</v>
      </c>
    </row>
    <row r="48" spans="2:6" ht="19.5" customHeight="1" x14ac:dyDescent="0.25">
      <c r="B48" s="160"/>
      <c r="C48" s="137" t="s">
        <v>193</v>
      </c>
      <c r="D48" s="269"/>
      <c r="F48" s="262"/>
    </row>
    <row r="49" spans="2:6" ht="19.5" customHeight="1" x14ac:dyDescent="0.25">
      <c r="B49" s="159" t="s">
        <v>23</v>
      </c>
      <c r="C49" s="117">
        <v>6</v>
      </c>
      <c r="D49" s="244">
        <f>SUM(C49)/C50*100</f>
        <v>100</v>
      </c>
      <c r="F49" s="261" t="s">
        <v>56</v>
      </c>
    </row>
    <row r="50" spans="2:6" ht="19.5" customHeight="1" x14ac:dyDescent="0.25">
      <c r="B50" s="160"/>
      <c r="C50" s="117">
        <v>6</v>
      </c>
      <c r="D50" s="245"/>
      <c r="F50" s="262"/>
    </row>
    <row r="51" spans="2:6" ht="19.5" customHeight="1" x14ac:dyDescent="0.25">
      <c r="B51" s="159" t="s">
        <v>24</v>
      </c>
      <c r="C51" s="117">
        <v>6</v>
      </c>
      <c r="D51" s="244">
        <f>SUM(C51)/C52*100</f>
        <v>100</v>
      </c>
      <c r="F51" s="261" t="s">
        <v>56</v>
      </c>
    </row>
    <row r="52" spans="2:6" ht="19.5" customHeight="1" x14ac:dyDescent="0.25">
      <c r="B52" s="160"/>
      <c r="C52" s="117">
        <v>6</v>
      </c>
      <c r="D52" s="245"/>
      <c r="F52" s="262"/>
    </row>
    <row r="53" spans="2:6" ht="19.5" customHeight="1" x14ac:dyDescent="0.25">
      <c r="B53" s="159" t="s">
        <v>25</v>
      </c>
      <c r="C53" s="116" t="s">
        <v>20</v>
      </c>
      <c r="D53" s="173" t="e">
        <f>+C53/C54*100</f>
        <v>#VALUE!</v>
      </c>
      <c r="F53" s="261" t="s">
        <v>47</v>
      </c>
    </row>
    <row r="54" spans="2:6" ht="19.5" customHeight="1" x14ac:dyDescent="0.25">
      <c r="B54" s="160"/>
      <c r="C54" s="116" t="s">
        <v>20</v>
      </c>
      <c r="D54" s="174"/>
      <c r="F54" s="262"/>
    </row>
    <row r="55" spans="2:6" ht="19.5" customHeight="1" x14ac:dyDescent="0.25">
      <c r="B55" s="159" t="s">
        <v>26</v>
      </c>
      <c r="C55" s="137"/>
      <c r="D55" s="268" t="e">
        <f>SUM(C55)/C56*100</f>
        <v>#DIV/0!</v>
      </c>
      <c r="F55" s="261" t="s">
        <v>48</v>
      </c>
    </row>
    <row r="56" spans="2:6" ht="19.5" customHeight="1" x14ac:dyDescent="0.25">
      <c r="B56" s="160"/>
      <c r="C56" s="137"/>
      <c r="D56" s="269"/>
      <c r="F56" s="262"/>
    </row>
    <row r="57" spans="2:6" ht="35.4" customHeight="1" x14ac:dyDescent="0.25">
      <c r="B57" s="50" t="s">
        <v>27</v>
      </c>
      <c r="C57" s="50" t="s">
        <v>2</v>
      </c>
      <c r="D57" s="50" t="s">
        <v>3</v>
      </c>
      <c r="F57" s="51" t="s">
        <v>43</v>
      </c>
    </row>
    <row r="58" spans="2:6" ht="19.5" customHeight="1" x14ac:dyDescent="0.25">
      <c r="B58" s="159" t="s">
        <v>28</v>
      </c>
      <c r="C58" s="121">
        <v>6</v>
      </c>
      <c r="D58" s="250">
        <f>SUM(C58)/C59*100</f>
        <v>100</v>
      </c>
      <c r="F58" s="261" t="s">
        <v>49</v>
      </c>
    </row>
    <row r="59" spans="2:6" ht="19.5" customHeight="1" x14ac:dyDescent="0.25">
      <c r="B59" s="160"/>
      <c r="C59" s="119">
        <v>6</v>
      </c>
      <c r="D59" s="251"/>
      <c r="F59" s="262"/>
    </row>
    <row r="60" spans="2:6" ht="19.5" customHeight="1" x14ac:dyDescent="0.25">
      <c r="B60" s="159" t="s">
        <v>29</v>
      </c>
      <c r="C60" s="119">
        <v>12</v>
      </c>
      <c r="D60" s="250">
        <f>SUM(C60)/C61*100</f>
        <v>11.111111111111111</v>
      </c>
      <c r="F60" s="261" t="s">
        <v>49</v>
      </c>
    </row>
    <row r="61" spans="2:6" ht="19.5" customHeight="1" x14ac:dyDescent="0.25">
      <c r="B61" s="160"/>
      <c r="C61" s="119">
        <v>108</v>
      </c>
      <c r="D61" s="251"/>
      <c r="F61" s="262"/>
    </row>
    <row r="62" spans="2:6" ht="19.5" customHeight="1" x14ac:dyDescent="0.25">
      <c r="B62" s="159" t="s">
        <v>30</v>
      </c>
      <c r="C62" s="119">
        <v>7</v>
      </c>
      <c r="D62" s="250">
        <f>SUM(C62)/C63*100</f>
        <v>6.481481481481481</v>
      </c>
      <c r="F62" s="261" t="s">
        <v>49</v>
      </c>
    </row>
    <row r="63" spans="2:6" ht="19.5" customHeight="1" x14ac:dyDescent="0.25">
      <c r="B63" s="160"/>
      <c r="C63" s="119">
        <v>108</v>
      </c>
      <c r="D63" s="251"/>
      <c r="F63" s="262"/>
    </row>
    <row r="64" spans="2:6" ht="19.5" customHeight="1" x14ac:dyDescent="0.25">
      <c r="B64" s="159" t="s">
        <v>31</v>
      </c>
      <c r="C64" s="119">
        <v>45462.89</v>
      </c>
      <c r="D64" s="250">
        <f>SUM(C64)/C65*100</f>
        <v>3.641053719635734E-2</v>
      </c>
      <c r="F64" s="124" t="s">
        <v>136</v>
      </c>
    </row>
    <row r="65" spans="2:8" ht="19.5" customHeight="1" x14ac:dyDescent="0.25">
      <c r="B65" s="160"/>
      <c r="C65" s="119">
        <v>124861904</v>
      </c>
      <c r="D65" s="251"/>
      <c r="F65" s="125" t="s">
        <v>53</v>
      </c>
    </row>
    <row r="66" spans="2:8" ht="35.4" customHeight="1" x14ac:dyDescent="0.25">
      <c r="B66" s="50" t="s">
        <v>32</v>
      </c>
      <c r="C66" s="50" t="s">
        <v>2</v>
      </c>
      <c r="D66" s="50" t="s">
        <v>3</v>
      </c>
      <c r="F66" s="51" t="s">
        <v>43</v>
      </c>
    </row>
    <row r="67" spans="2:8" ht="18.75" customHeight="1" x14ac:dyDescent="0.25">
      <c r="B67" s="159" t="s">
        <v>33</v>
      </c>
      <c r="C67" s="116"/>
      <c r="D67" s="257" t="s">
        <v>20</v>
      </c>
      <c r="F67" s="124" t="s">
        <v>138</v>
      </c>
    </row>
    <row r="68" spans="2:8" ht="18.75" customHeight="1" x14ac:dyDescent="0.25">
      <c r="B68" s="160"/>
      <c r="C68" s="116"/>
      <c r="D68" s="258"/>
      <c r="F68" s="125" t="s">
        <v>135</v>
      </c>
    </row>
    <row r="69" spans="2:8" ht="18.75" customHeight="1" x14ac:dyDescent="0.25">
      <c r="B69" s="159" t="s">
        <v>34</v>
      </c>
      <c r="C69" s="117">
        <v>78</v>
      </c>
      <c r="D69" s="244">
        <f>SUM(C69)/C70*100</f>
        <v>100</v>
      </c>
      <c r="F69" s="128" t="s">
        <v>136</v>
      </c>
      <c r="H69" s="242"/>
    </row>
    <row r="70" spans="2:8" ht="18.75" customHeight="1" x14ac:dyDescent="0.25">
      <c r="B70" s="160"/>
      <c r="C70" s="117">
        <v>78</v>
      </c>
      <c r="D70" s="245"/>
      <c r="F70" s="125" t="s">
        <v>50</v>
      </c>
      <c r="H70" s="242"/>
    </row>
    <row r="71" spans="2:8" ht="18.75" customHeight="1" x14ac:dyDescent="0.25">
      <c r="B71" s="159" t="s">
        <v>35</v>
      </c>
      <c r="C71" s="117">
        <v>10868</v>
      </c>
      <c r="D71" s="256">
        <f>SUM(C71)/C72</f>
        <v>1811.3333333333333</v>
      </c>
      <c r="F71" s="265" t="s">
        <v>51</v>
      </c>
      <c r="H71" s="56"/>
    </row>
    <row r="72" spans="2:8" ht="18.75" customHeight="1" x14ac:dyDescent="0.25">
      <c r="B72" s="160"/>
      <c r="C72" s="118">
        <v>6</v>
      </c>
      <c r="D72" s="256"/>
      <c r="F72" s="265"/>
    </row>
    <row r="73" spans="2:8" ht="18.75" customHeight="1" x14ac:dyDescent="0.25">
      <c r="B73" s="159" t="s">
        <v>36</v>
      </c>
      <c r="C73" s="117" t="s">
        <v>20</v>
      </c>
      <c r="D73" s="246" t="e">
        <f>SUM(C73)/C74</f>
        <v>#VALUE!</v>
      </c>
      <c r="F73" s="263" t="s">
        <v>52</v>
      </c>
    </row>
    <row r="74" spans="2:8" ht="18.75" customHeight="1" x14ac:dyDescent="0.25">
      <c r="B74" s="160"/>
      <c r="C74" s="117" t="s">
        <v>20</v>
      </c>
      <c r="D74" s="247"/>
      <c r="F74" s="264"/>
    </row>
    <row r="75" spans="2:8" ht="18.75" customHeight="1" x14ac:dyDescent="0.25">
      <c r="B75" s="159" t="s">
        <v>37</v>
      </c>
      <c r="C75" s="117">
        <v>6</v>
      </c>
      <c r="D75" s="246">
        <f>SUM(C75)/C76</f>
        <v>4.5112781954887216E-2</v>
      </c>
      <c r="F75" s="261" t="s">
        <v>45</v>
      </c>
    </row>
    <row r="76" spans="2:8" ht="18.75" customHeight="1" x14ac:dyDescent="0.25">
      <c r="B76" s="160"/>
      <c r="C76" s="117">
        <v>133</v>
      </c>
      <c r="D76" s="247"/>
      <c r="F76" s="262"/>
    </row>
    <row r="77" spans="2:8" ht="18.75" customHeight="1" x14ac:dyDescent="0.25">
      <c r="B77" s="159" t="s">
        <v>38</v>
      </c>
      <c r="C77" s="117">
        <v>123</v>
      </c>
      <c r="D77" s="244">
        <f>SUM(C77)/C78*100</f>
        <v>92.481203007518801</v>
      </c>
      <c r="F77" s="261" t="s">
        <v>45</v>
      </c>
    </row>
    <row r="78" spans="2:8" ht="18.75" customHeight="1" x14ac:dyDescent="0.25">
      <c r="B78" s="160"/>
      <c r="C78" s="117">
        <v>133</v>
      </c>
      <c r="D78" s="245"/>
      <c r="F78" s="262"/>
    </row>
    <row r="79" spans="2:8" ht="18.75" customHeight="1" x14ac:dyDescent="0.25">
      <c r="B79" s="159" t="s">
        <v>39</v>
      </c>
      <c r="C79" s="120">
        <v>109463.97</v>
      </c>
      <c r="D79" s="244">
        <f>SUM(C79)/C80/1000</f>
        <v>18.243994999999998</v>
      </c>
      <c r="F79" s="261" t="s">
        <v>53</v>
      </c>
    </row>
    <row r="80" spans="2:8" ht="18.75" customHeight="1" x14ac:dyDescent="0.25">
      <c r="B80" s="160"/>
      <c r="C80" s="117">
        <v>6</v>
      </c>
      <c r="D80" s="245"/>
      <c r="F80" s="262"/>
    </row>
    <row r="81" spans="2:6" x14ac:dyDescent="0.25">
      <c r="B81" s="57"/>
      <c r="C81" s="57"/>
      <c r="D81" s="57"/>
      <c r="F81" s="57"/>
    </row>
    <row r="82" spans="2:6" ht="109.2" customHeight="1" x14ac:dyDescent="0.5">
      <c r="B82" s="58" t="s">
        <v>61</v>
      </c>
    </row>
    <row r="83" spans="2:6" x14ac:dyDescent="0.25">
      <c r="B83" s="59" t="s">
        <v>60</v>
      </c>
      <c r="C83" s="165"/>
      <c r="D83" s="165"/>
    </row>
  </sheetData>
  <mergeCells count="105">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B23:B24"/>
    <mergeCell ref="D23:D24"/>
    <mergeCell ref="F23:F24"/>
    <mergeCell ref="A25:A26"/>
    <mergeCell ref="B25:B26"/>
    <mergeCell ref="D25:D26"/>
    <mergeCell ref="F25:F26"/>
    <mergeCell ref="B19:B20"/>
    <mergeCell ref="D19:D20"/>
    <mergeCell ref="F19:F20"/>
    <mergeCell ref="B21:B22"/>
    <mergeCell ref="D21:D22"/>
    <mergeCell ref="F21:F22"/>
    <mergeCell ref="B32:B33"/>
    <mergeCell ref="D32:D33"/>
    <mergeCell ref="F32:F33"/>
    <mergeCell ref="B34:B35"/>
    <mergeCell ref="D34:D35"/>
    <mergeCell ref="F34:F35"/>
    <mergeCell ref="B27:B28"/>
    <mergeCell ref="D27:D28"/>
    <mergeCell ref="F27:F28"/>
    <mergeCell ref="B30:B31"/>
    <mergeCell ref="D30:D31"/>
    <mergeCell ref="F30:F31"/>
    <mergeCell ref="B40:B41"/>
    <mergeCell ref="D40:D41"/>
    <mergeCell ref="F40:F41"/>
    <mergeCell ref="B43:B44"/>
    <mergeCell ref="D43:D44"/>
    <mergeCell ref="F43:F44"/>
    <mergeCell ref="B36:B37"/>
    <mergeCell ref="D36:D37"/>
    <mergeCell ref="F36:F37"/>
    <mergeCell ref="B38:B39"/>
    <mergeCell ref="D38:D39"/>
    <mergeCell ref="F38:F39"/>
    <mergeCell ref="B49:B50"/>
    <mergeCell ref="D49:D50"/>
    <mergeCell ref="F49:F50"/>
    <mergeCell ref="B51:B52"/>
    <mergeCell ref="D51:D52"/>
    <mergeCell ref="F51:F52"/>
    <mergeCell ref="B45:B46"/>
    <mergeCell ref="D45:D46"/>
    <mergeCell ref="F45:F46"/>
    <mergeCell ref="B47:B48"/>
    <mergeCell ref="D47:D48"/>
    <mergeCell ref="F47:F48"/>
    <mergeCell ref="B58:B59"/>
    <mergeCell ref="D58:D59"/>
    <mergeCell ref="F58:F59"/>
    <mergeCell ref="B60:B61"/>
    <mergeCell ref="D60:D61"/>
    <mergeCell ref="F60:F61"/>
    <mergeCell ref="B53:B54"/>
    <mergeCell ref="D53:D54"/>
    <mergeCell ref="F53:F54"/>
    <mergeCell ref="B55:B56"/>
    <mergeCell ref="D55:D56"/>
    <mergeCell ref="F55:F56"/>
    <mergeCell ref="B69:B70"/>
    <mergeCell ref="D69:D70"/>
    <mergeCell ref="H69:H70"/>
    <mergeCell ref="B71:B72"/>
    <mergeCell ref="D71:D72"/>
    <mergeCell ref="F71:F72"/>
    <mergeCell ref="B62:B63"/>
    <mergeCell ref="D62:D63"/>
    <mergeCell ref="F62:F63"/>
    <mergeCell ref="B64:B65"/>
    <mergeCell ref="D64:D65"/>
    <mergeCell ref="B67:B68"/>
    <mergeCell ref="D67:D68"/>
    <mergeCell ref="C83:D83"/>
    <mergeCell ref="B77:B78"/>
    <mergeCell ref="D77:D78"/>
    <mergeCell ref="F77:F78"/>
    <mergeCell ref="B79:B80"/>
    <mergeCell ref="D79:D80"/>
    <mergeCell ref="F79:F80"/>
    <mergeCell ref="B73:B74"/>
    <mergeCell ref="D73:D74"/>
    <mergeCell ref="F73:F74"/>
    <mergeCell ref="B75:B76"/>
    <mergeCell ref="D75:D76"/>
    <mergeCell ref="F75:F76"/>
  </mergeCells>
  <printOptions horizontalCentered="1" verticalCentered="1"/>
  <pageMargins left="0.39370078740157483" right="0.39370078740157483" top="0.39370078740157483" bottom="0.39370078740157483" header="0.31496062992125984" footer="0.31496062992125984"/>
  <pageSetup scale="4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00FFFF"/>
    <pageSetUpPr fitToPage="1"/>
  </sheetPr>
  <dimension ref="A4:W83"/>
  <sheetViews>
    <sheetView tabSelected="1" zoomScale="90" zoomScaleNormal="90" zoomScaleSheetLayoutView="75" workbookViewId="0">
      <selection activeCell="B6" sqref="B6:S6"/>
    </sheetView>
  </sheetViews>
  <sheetFormatPr baseColWidth="10" defaultColWidth="11.5546875" defaultRowHeight="18" x14ac:dyDescent="0.25"/>
  <cols>
    <col min="1" max="1" width="3.44140625" style="49" customWidth="1"/>
    <col min="2" max="2" width="57.44140625" style="49" customWidth="1"/>
    <col min="3" max="3" width="17.33203125" style="131" customWidth="1"/>
    <col min="4" max="4" width="8.88671875" style="131" customWidth="1"/>
    <col min="5" max="5" width="17.33203125" style="49" customWidth="1"/>
    <col min="6" max="6" width="8.88671875" style="49" customWidth="1"/>
    <col min="7" max="7" width="17.33203125" style="49" customWidth="1"/>
    <col min="8" max="8" width="8.88671875" style="49" customWidth="1"/>
    <col min="9" max="9" width="16.5546875" style="49" bestFit="1" customWidth="1"/>
    <col min="10" max="10" width="8.88671875" style="49" customWidth="1"/>
    <col min="11" max="11" width="17.6640625" style="49" bestFit="1" customWidth="1"/>
    <col min="12" max="12" width="8.88671875" style="49" customWidth="1"/>
    <col min="13" max="19" width="14.6640625" style="49" customWidth="1"/>
    <col min="20" max="20" width="24.33203125" style="49" hidden="1" customWidth="1"/>
    <col min="21" max="21" width="33" style="49" hidden="1" customWidth="1"/>
    <col min="22" max="22" width="2.88671875" style="60" hidden="1" customWidth="1"/>
    <col min="23" max="23" width="49.33203125" style="49" hidden="1" customWidth="1"/>
    <col min="24" max="16384" width="11.5546875" style="49"/>
  </cols>
  <sheetData>
    <row r="4" spans="2:23" ht="25.2" x14ac:dyDescent="0.25">
      <c r="B4" s="46"/>
      <c r="C4" s="133"/>
      <c r="D4" s="133"/>
      <c r="E4" s="47"/>
      <c r="F4" s="47"/>
      <c r="G4" s="47"/>
      <c r="H4" s="47"/>
      <c r="I4" s="47"/>
      <c r="J4" s="47"/>
      <c r="K4" s="47"/>
      <c r="L4" s="47"/>
      <c r="M4" s="47"/>
      <c r="N4" s="47"/>
      <c r="O4" s="47"/>
      <c r="P4" s="47"/>
      <c r="Q4" s="47"/>
      <c r="R4" s="47"/>
      <c r="S4" s="47"/>
      <c r="T4" s="47"/>
      <c r="U4" s="47"/>
    </row>
    <row r="5" spans="2:23" ht="118.2" customHeight="1" x14ac:dyDescent="0.25">
      <c r="B5" s="304" t="s">
        <v>194</v>
      </c>
      <c r="C5" s="304"/>
      <c r="D5" s="304"/>
      <c r="E5" s="304"/>
      <c r="F5" s="304"/>
      <c r="G5" s="304"/>
      <c r="H5" s="304"/>
      <c r="I5" s="304"/>
      <c r="J5" s="304"/>
      <c r="K5" s="304"/>
      <c r="L5" s="304"/>
      <c r="M5" s="304"/>
      <c r="N5" s="304"/>
      <c r="O5" s="304"/>
      <c r="P5" s="304"/>
      <c r="Q5" s="304"/>
      <c r="R5" s="304"/>
      <c r="S5" s="304"/>
      <c r="W5" s="130" t="s">
        <v>192</v>
      </c>
    </row>
    <row r="6" spans="2:23" ht="25.2" customHeight="1" x14ac:dyDescent="0.25">
      <c r="B6" s="155" t="s">
        <v>0</v>
      </c>
      <c r="C6" s="156"/>
      <c r="D6" s="156"/>
      <c r="E6" s="156"/>
      <c r="F6" s="156"/>
      <c r="G6" s="156"/>
      <c r="H6" s="156"/>
      <c r="I6" s="156"/>
      <c r="J6" s="156"/>
      <c r="K6" s="156"/>
      <c r="L6" s="156"/>
      <c r="M6" s="156"/>
      <c r="N6" s="156"/>
      <c r="O6" s="156"/>
      <c r="P6" s="156"/>
      <c r="Q6" s="156"/>
      <c r="R6" s="156"/>
      <c r="S6" s="157"/>
    </row>
    <row r="7" spans="2:23" ht="53.4" customHeight="1" x14ac:dyDescent="0.25">
      <c r="B7" s="273" t="s">
        <v>42</v>
      </c>
      <c r="C7" s="274"/>
      <c r="D7" s="275"/>
      <c r="E7" s="276" t="s">
        <v>187</v>
      </c>
      <c r="F7" s="277"/>
      <c r="G7" s="276" t="s">
        <v>149</v>
      </c>
      <c r="H7" s="277"/>
      <c r="I7" s="276" t="s">
        <v>143</v>
      </c>
      <c r="J7" s="277"/>
      <c r="K7" s="276" t="s">
        <v>104</v>
      </c>
      <c r="L7" s="277"/>
      <c r="M7" s="61" t="s">
        <v>65</v>
      </c>
      <c r="N7" s="61" t="s">
        <v>62</v>
      </c>
      <c r="O7" s="61" t="s">
        <v>59</v>
      </c>
      <c r="P7" s="61" t="s">
        <v>57</v>
      </c>
      <c r="Q7" s="61" t="s">
        <v>58</v>
      </c>
      <c r="R7" s="50" t="s">
        <v>151</v>
      </c>
      <c r="S7" s="50" t="s">
        <v>150</v>
      </c>
      <c r="T7" s="48"/>
      <c r="U7" s="48"/>
    </row>
    <row r="8" spans="2:23" ht="46.8" customHeight="1" x14ac:dyDescent="0.25">
      <c r="B8" s="50" t="s">
        <v>1</v>
      </c>
      <c r="C8" s="50" t="s">
        <v>2</v>
      </c>
      <c r="D8" s="50" t="s">
        <v>3</v>
      </c>
      <c r="E8" s="50" t="s">
        <v>2</v>
      </c>
      <c r="F8" s="50" t="s">
        <v>3</v>
      </c>
      <c r="G8" s="50" t="s">
        <v>2</v>
      </c>
      <c r="H8" s="50" t="s">
        <v>3</v>
      </c>
      <c r="I8" s="50" t="s">
        <v>2</v>
      </c>
      <c r="J8" s="50" t="s">
        <v>3</v>
      </c>
      <c r="K8" s="50" t="s">
        <v>2</v>
      </c>
      <c r="L8" s="50" t="s">
        <v>3</v>
      </c>
      <c r="M8" s="50" t="s">
        <v>3</v>
      </c>
      <c r="N8" s="50" t="s">
        <v>3</v>
      </c>
      <c r="O8" s="50" t="s">
        <v>3</v>
      </c>
      <c r="P8" s="50" t="s">
        <v>3</v>
      </c>
      <c r="Q8" s="50" t="s">
        <v>3</v>
      </c>
      <c r="R8" s="50" t="s">
        <v>3</v>
      </c>
      <c r="S8" s="50" t="s">
        <v>3</v>
      </c>
      <c r="T8" s="51" t="s">
        <v>43</v>
      </c>
      <c r="U8" s="62" t="s">
        <v>152</v>
      </c>
      <c r="W8" s="127" t="s">
        <v>188</v>
      </c>
    </row>
    <row r="9" spans="2:23" ht="28.2" customHeight="1" x14ac:dyDescent="0.25">
      <c r="B9" s="159" t="s">
        <v>55</v>
      </c>
      <c r="C9" s="132">
        <v>3630</v>
      </c>
      <c r="D9" s="171">
        <f>+C9/C10*100</f>
        <v>78.367875647668399</v>
      </c>
      <c r="E9" s="70">
        <v>3443</v>
      </c>
      <c r="F9" s="171">
        <f>+E9/E10*100</f>
        <v>77.579990986931051</v>
      </c>
      <c r="G9" s="70">
        <v>3305</v>
      </c>
      <c r="H9" s="171">
        <f>+G9/G10*100</f>
        <v>77.636833450786938</v>
      </c>
      <c r="I9" s="70">
        <v>3152</v>
      </c>
      <c r="J9" s="282">
        <f>+I9/I10*100</f>
        <v>78.544729628706705</v>
      </c>
      <c r="K9" s="70">
        <v>2920</v>
      </c>
      <c r="L9" s="284">
        <f>+K9/K10*100</f>
        <v>80.976150859678313</v>
      </c>
      <c r="M9" s="171">
        <v>80.227155394940624</v>
      </c>
      <c r="N9" s="171">
        <v>81.557484872402</v>
      </c>
      <c r="O9" s="171">
        <v>96.470588235294116</v>
      </c>
      <c r="P9" s="180">
        <v>78.399773819621146</v>
      </c>
      <c r="Q9" s="161">
        <v>85.175438596491233</v>
      </c>
      <c r="R9" s="161">
        <v>87.749979425561691</v>
      </c>
      <c r="S9" s="161">
        <v>82.22</v>
      </c>
      <c r="T9" s="161" t="s">
        <v>44</v>
      </c>
      <c r="U9" s="290" t="s">
        <v>158</v>
      </c>
    </row>
    <row r="10" spans="2:23" ht="28.2" customHeight="1" x14ac:dyDescent="0.25">
      <c r="B10" s="160"/>
      <c r="C10" s="132">
        <v>4632</v>
      </c>
      <c r="D10" s="172"/>
      <c r="E10" s="70">
        <v>4438</v>
      </c>
      <c r="F10" s="172"/>
      <c r="G10" s="70">
        <v>4257</v>
      </c>
      <c r="H10" s="172"/>
      <c r="I10" s="70">
        <v>4013</v>
      </c>
      <c r="J10" s="283"/>
      <c r="K10" s="70">
        <v>3606</v>
      </c>
      <c r="L10" s="285"/>
      <c r="M10" s="172"/>
      <c r="N10" s="172"/>
      <c r="O10" s="172"/>
      <c r="P10" s="181"/>
      <c r="Q10" s="162"/>
      <c r="R10" s="162"/>
      <c r="S10" s="162"/>
      <c r="T10" s="162"/>
      <c r="U10" s="291"/>
    </row>
    <row r="11" spans="2:23" ht="19.5" customHeight="1" x14ac:dyDescent="0.25">
      <c r="B11" s="159" t="s">
        <v>4</v>
      </c>
      <c r="C11" s="70">
        <f>+'[1]Indicadores 2024-2025 TSU '!C11+'[1]Indicadores 2024-2025 ING '!C11+'[1]Indicadores 2024-2025 POSGRADO'!C11</f>
        <v>213</v>
      </c>
      <c r="D11" s="171">
        <f>+C11/C12*100</f>
        <v>3.1122150789012273</v>
      </c>
      <c r="E11" s="70">
        <v>309</v>
      </c>
      <c r="F11" s="171">
        <f>+E11/E12*100</f>
        <v>4.7899550457293447</v>
      </c>
      <c r="G11" s="70">
        <v>152</v>
      </c>
      <c r="H11" s="171">
        <f>+G11/G12*100</f>
        <v>2.509907529722589</v>
      </c>
      <c r="I11" s="70">
        <v>111</v>
      </c>
      <c r="J11" s="282">
        <f>+I11/I12*100</f>
        <v>1.8746833305184933</v>
      </c>
      <c r="K11" s="70">
        <v>36</v>
      </c>
      <c r="L11" s="284">
        <f>+K11/K12*100</f>
        <v>0.60402684563758391</v>
      </c>
      <c r="M11" s="171">
        <v>1.9052352551358516</v>
      </c>
      <c r="N11" s="171">
        <v>2.823330515638208</v>
      </c>
      <c r="O11" s="171">
        <v>2.4517475221700575</v>
      </c>
      <c r="P11" s="180">
        <v>5.1408051408051412</v>
      </c>
      <c r="Q11" s="161">
        <v>2.4619995718261616</v>
      </c>
      <c r="R11" s="161">
        <v>4.54485459105108</v>
      </c>
      <c r="S11" s="161">
        <v>7.04</v>
      </c>
      <c r="T11" s="161" t="s">
        <v>44</v>
      </c>
      <c r="U11" s="290" t="s">
        <v>155</v>
      </c>
    </row>
    <row r="12" spans="2:23" ht="19.5" customHeight="1" x14ac:dyDescent="0.25">
      <c r="B12" s="160"/>
      <c r="C12" s="70">
        <f>+'[1]Indicadores 2024-2025 TSU '!C12+'[1]Indicadores 2024-2025 ING '!C12+'[1]Indicadores 2024-2025 POSGRADO'!C12</f>
        <v>6844</v>
      </c>
      <c r="D12" s="172"/>
      <c r="E12" s="70">
        <v>6451</v>
      </c>
      <c r="F12" s="172"/>
      <c r="G12" s="70">
        <v>6056</v>
      </c>
      <c r="H12" s="172"/>
      <c r="I12" s="70">
        <v>5921</v>
      </c>
      <c r="J12" s="283"/>
      <c r="K12" s="70">
        <v>5960</v>
      </c>
      <c r="L12" s="285"/>
      <c r="M12" s="172"/>
      <c r="N12" s="172"/>
      <c r="O12" s="172"/>
      <c r="P12" s="181"/>
      <c r="Q12" s="162"/>
      <c r="R12" s="162"/>
      <c r="S12" s="162"/>
      <c r="T12" s="162"/>
      <c r="U12" s="291"/>
    </row>
    <row r="13" spans="2:23" ht="19.5" customHeight="1" x14ac:dyDescent="0.25">
      <c r="B13" s="159" t="s">
        <v>5</v>
      </c>
      <c r="C13" s="70">
        <f>+'[1]Indicadores 2024-2025 TSU '!C13+'[1]Indicadores 2024-2025 ING '!C13+'[1]Indicadores 2024-2025 POSGRADO'!C13</f>
        <v>1097</v>
      </c>
      <c r="D13" s="171">
        <f>+C13/C14*100</f>
        <v>5.9863574351978173</v>
      </c>
      <c r="E13" s="70">
        <v>1151</v>
      </c>
      <c r="F13" s="171">
        <f>+E13/E14*100</f>
        <v>6.8098449887587273</v>
      </c>
      <c r="G13" s="70">
        <v>1099</v>
      </c>
      <c r="H13" s="171">
        <f>+G13/G14*100</f>
        <v>6.9097767997485073</v>
      </c>
      <c r="I13" s="70">
        <v>5852</v>
      </c>
      <c r="J13" s="282">
        <f>+I13/I14*100</f>
        <v>6.6719111627960004</v>
      </c>
      <c r="K13" s="70">
        <v>5051</v>
      </c>
      <c r="L13" s="284">
        <f>+K13/K14*100</f>
        <v>5.6459725917149175</v>
      </c>
      <c r="M13" s="171">
        <v>3.6474458204334361</v>
      </c>
      <c r="N13" s="171">
        <v>7.285133822100522</v>
      </c>
      <c r="O13" s="171">
        <v>3.4763030507711359</v>
      </c>
      <c r="P13" s="180">
        <v>4.5720502901353965</v>
      </c>
      <c r="Q13" s="161">
        <v>4.7237149215654348</v>
      </c>
      <c r="R13" s="161">
        <v>10.80469539933031</v>
      </c>
      <c r="S13" s="161">
        <v>17.260000000000002</v>
      </c>
      <c r="T13" s="161" t="s">
        <v>44</v>
      </c>
      <c r="U13" s="278" t="s">
        <v>177</v>
      </c>
    </row>
    <row r="14" spans="2:23" ht="19.5" customHeight="1" x14ac:dyDescent="0.25">
      <c r="B14" s="160"/>
      <c r="C14" s="70">
        <f>+'[1]Indicadores 2024-2025 TSU '!C14+'[1]Indicadores 2024-2025 ING '!C14+'[1]Indicadores 2024-2025 POSGRADO'!C14</f>
        <v>18325</v>
      </c>
      <c r="D14" s="172"/>
      <c r="E14" s="70">
        <v>16902</v>
      </c>
      <c r="F14" s="172"/>
      <c r="G14" s="70">
        <v>15905</v>
      </c>
      <c r="H14" s="172"/>
      <c r="I14" s="70">
        <v>87711</v>
      </c>
      <c r="J14" s="283"/>
      <c r="K14" s="70">
        <v>89462</v>
      </c>
      <c r="L14" s="285"/>
      <c r="M14" s="172"/>
      <c r="N14" s="172"/>
      <c r="O14" s="172"/>
      <c r="P14" s="181"/>
      <c r="Q14" s="162"/>
      <c r="R14" s="162"/>
      <c r="S14" s="162"/>
      <c r="T14" s="162"/>
      <c r="U14" s="279"/>
    </row>
    <row r="15" spans="2:23" ht="19.5" customHeight="1" x14ac:dyDescent="0.25">
      <c r="B15" s="159" t="s">
        <v>6</v>
      </c>
      <c r="C15" s="70">
        <f>+'[1]Indicadores 2024-2025 TSU '!C15+'[1]Indicadores 2024-2025 ING '!C15+'[1]Indicadores 2024-2025 POSGRADO'!C15</f>
        <v>2318</v>
      </c>
      <c r="D15" s="171">
        <f>+C15/C16*100</f>
        <v>68.620485494375373</v>
      </c>
      <c r="E15" s="70">
        <v>2076</v>
      </c>
      <c r="F15" s="171">
        <f>+E15/E16*100</f>
        <v>64.612511671335199</v>
      </c>
      <c r="G15" s="70">
        <v>1980</v>
      </c>
      <c r="H15" s="171">
        <f>+G15/G16*100</f>
        <v>64.390243902439025</v>
      </c>
      <c r="I15" s="70">
        <v>1949</v>
      </c>
      <c r="J15" s="282">
        <f>+I15/I16*100</f>
        <v>63.464669488765878</v>
      </c>
      <c r="K15" s="70">
        <v>2080</v>
      </c>
      <c r="L15" s="284">
        <f>+K15/K16*100</f>
        <v>67.270375161707634</v>
      </c>
      <c r="M15" s="171">
        <v>67.669172932330824</v>
      </c>
      <c r="N15" s="171">
        <v>64.412453967191169</v>
      </c>
      <c r="O15" s="171">
        <v>69.908062234794912</v>
      </c>
      <c r="P15" s="180">
        <v>67.334423548650861</v>
      </c>
      <c r="Q15" s="161">
        <v>66.981601193436106</v>
      </c>
      <c r="R15" s="161">
        <v>52.291817898994083</v>
      </c>
      <c r="S15" s="161">
        <v>40.520000000000003</v>
      </c>
      <c r="T15" s="161" t="s">
        <v>44</v>
      </c>
      <c r="U15" s="278" t="s">
        <v>178</v>
      </c>
    </row>
    <row r="16" spans="2:23" ht="19.5" customHeight="1" x14ac:dyDescent="0.25">
      <c r="B16" s="160"/>
      <c r="C16" s="70">
        <f>+'[1]Indicadores 2024-2025 TSU '!C16+'[1]Indicadores 2024-2025 ING '!C16+'[1]Indicadores 2024-2025 POSGRADO'!C16</f>
        <v>3378</v>
      </c>
      <c r="D16" s="172"/>
      <c r="E16" s="70">
        <v>3213</v>
      </c>
      <c r="F16" s="172"/>
      <c r="G16" s="70">
        <v>3075</v>
      </c>
      <c r="H16" s="172"/>
      <c r="I16" s="70">
        <v>3071</v>
      </c>
      <c r="J16" s="283"/>
      <c r="K16" s="70">
        <v>3092</v>
      </c>
      <c r="L16" s="285"/>
      <c r="M16" s="172"/>
      <c r="N16" s="172"/>
      <c r="O16" s="172"/>
      <c r="P16" s="181"/>
      <c r="Q16" s="162"/>
      <c r="R16" s="162"/>
      <c r="S16" s="162"/>
      <c r="T16" s="162"/>
      <c r="U16" s="279"/>
    </row>
    <row r="17" spans="1:23" ht="19.5" customHeight="1" x14ac:dyDescent="0.25">
      <c r="B17" s="159" t="s">
        <v>7</v>
      </c>
      <c r="C17" s="70">
        <f>+'[1]Indicadores 2024-2025 TSU '!C17+'[1]Indicadores 2024-2025 ING '!C17+'[1]Indicadores 2024-2025 POSGRADO'!C17</f>
        <v>2480</v>
      </c>
      <c r="D17" s="171">
        <f>+C17/C18*100</f>
        <v>100</v>
      </c>
      <c r="E17" s="70">
        <v>2232</v>
      </c>
      <c r="F17" s="171">
        <f>+E17/E18*100</f>
        <v>100</v>
      </c>
      <c r="G17" s="70">
        <v>2162</v>
      </c>
      <c r="H17" s="171">
        <f>+G17/G18*100</f>
        <v>100</v>
      </c>
      <c r="I17" s="70">
        <v>2092</v>
      </c>
      <c r="J17" s="282">
        <f>+I17/I18*100</f>
        <v>100</v>
      </c>
      <c r="K17" s="70">
        <v>2243</v>
      </c>
      <c r="L17" s="284">
        <f>+K17/K18*100</f>
        <v>100</v>
      </c>
      <c r="M17" s="171">
        <v>100</v>
      </c>
      <c r="N17" s="171">
        <v>100</v>
      </c>
      <c r="O17" s="171">
        <v>100</v>
      </c>
      <c r="P17" s="180">
        <v>100</v>
      </c>
      <c r="Q17" s="161">
        <v>100</v>
      </c>
      <c r="R17" s="161">
        <v>73.683709416357232</v>
      </c>
      <c r="S17" s="161">
        <v>67.55</v>
      </c>
      <c r="T17" s="161" t="s">
        <v>44</v>
      </c>
      <c r="U17" s="278" t="s">
        <v>176</v>
      </c>
    </row>
    <row r="18" spans="1:23" ht="19.5" customHeight="1" x14ac:dyDescent="0.25">
      <c r="B18" s="160"/>
      <c r="C18" s="70">
        <f>+'[1]Indicadores 2024-2025 TSU '!C18+'[1]Indicadores 2024-2025 ING '!C18+'[1]Indicadores 2024-2025 POSGRADO'!C18</f>
        <v>2480</v>
      </c>
      <c r="D18" s="172"/>
      <c r="E18" s="70">
        <v>2232</v>
      </c>
      <c r="F18" s="172"/>
      <c r="G18" s="70">
        <v>2162</v>
      </c>
      <c r="H18" s="172"/>
      <c r="I18" s="70">
        <v>2092</v>
      </c>
      <c r="J18" s="283"/>
      <c r="K18" s="70">
        <v>2243</v>
      </c>
      <c r="L18" s="285"/>
      <c r="M18" s="172"/>
      <c r="N18" s="172"/>
      <c r="O18" s="172"/>
      <c r="P18" s="181"/>
      <c r="Q18" s="162"/>
      <c r="R18" s="162"/>
      <c r="S18" s="162"/>
      <c r="T18" s="162"/>
      <c r="U18" s="279"/>
    </row>
    <row r="19" spans="1:23" ht="19.5" customHeight="1" x14ac:dyDescent="0.25">
      <c r="B19" s="159" t="s">
        <v>8</v>
      </c>
      <c r="C19" s="70">
        <f>+'[1]Indicadores 2024-2025 TSU '!C19+'[1]Indicadores 2024-2025 ING '!C19+'[1]Indicadores 2024-2025 POSGRADO'!C19</f>
        <v>2480</v>
      </c>
      <c r="D19" s="171">
        <f>+C19/C20*100</f>
        <v>94.548227220739605</v>
      </c>
      <c r="E19" s="70">
        <v>2232</v>
      </c>
      <c r="F19" s="171">
        <f>+E19/E20*100</f>
        <v>94.857628559286027</v>
      </c>
      <c r="G19" s="70">
        <v>2162</v>
      </c>
      <c r="H19" s="171">
        <f>+G19/G20*100</f>
        <v>93.836805555555557</v>
      </c>
      <c r="I19" s="70">
        <v>2092</v>
      </c>
      <c r="J19" s="282">
        <f>+I19/I20*100</f>
        <v>92.689410722197607</v>
      </c>
      <c r="K19" s="70">
        <v>2243</v>
      </c>
      <c r="L19" s="284">
        <f>+K19/K20*100</f>
        <v>93.186539260490235</v>
      </c>
      <c r="M19" s="171">
        <v>94.475615019421667</v>
      </c>
      <c r="N19" s="171">
        <v>93.61702127659575</v>
      </c>
      <c r="O19" s="171">
        <v>94.174757281553397</v>
      </c>
      <c r="P19" s="180">
        <v>95.114006514657973</v>
      </c>
      <c r="Q19" s="161">
        <v>97.517241379310349</v>
      </c>
      <c r="R19" s="161">
        <v>96.470715600303123</v>
      </c>
      <c r="S19" s="161">
        <v>83.6</v>
      </c>
      <c r="T19" s="161" t="s">
        <v>44</v>
      </c>
      <c r="U19" s="278" t="s">
        <v>156</v>
      </c>
    </row>
    <row r="20" spans="1:23" ht="19.5" customHeight="1" x14ac:dyDescent="0.25">
      <c r="B20" s="160"/>
      <c r="C20" s="70">
        <f>+'[1]Indicadores 2024-2025 TSU '!C20+'[1]Indicadores 2024-2025 ING '!C20+'[1]Indicadores 2024-2025 POSGRADO'!C20</f>
        <v>2623</v>
      </c>
      <c r="D20" s="172"/>
      <c r="E20" s="70">
        <v>2353</v>
      </c>
      <c r="F20" s="172"/>
      <c r="G20" s="70">
        <v>2304</v>
      </c>
      <c r="H20" s="172"/>
      <c r="I20" s="70">
        <v>2257</v>
      </c>
      <c r="J20" s="283"/>
      <c r="K20" s="70">
        <v>2407</v>
      </c>
      <c r="L20" s="285"/>
      <c r="M20" s="172"/>
      <c r="N20" s="172"/>
      <c r="O20" s="172"/>
      <c r="P20" s="181"/>
      <c r="Q20" s="162"/>
      <c r="R20" s="162"/>
      <c r="S20" s="162"/>
      <c r="T20" s="162"/>
      <c r="U20" s="279"/>
    </row>
    <row r="21" spans="1:23" ht="19.5" customHeight="1" x14ac:dyDescent="0.25">
      <c r="B21" s="159" t="s">
        <v>9</v>
      </c>
      <c r="C21" s="70">
        <f>+'[1]Indicadores 2024-2025 TSU '!C21+'[1]Indicadores 2024-2025 ING '!C21+'[1]Indicadores 2024-2025 POSGRADO'!C21</f>
        <v>3014</v>
      </c>
      <c r="D21" s="171">
        <f>+C21/C22*100</f>
        <v>44.038573933372298</v>
      </c>
      <c r="E21" s="70">
        <v>4248</v>
      </c>
      <c r="F21" s="171">
        <f>+E21/E22*100</f>
        <v>65.85025577429856</v>
      </c>
      <c r="G21" s="70">
        <v>5302</v>
      </c>
      <c r="H21" s="171">
        <f>+G21/G22*100</f>
        <v>87.54953764861294</v>
      </c>
      <c r="I21" s="70">
        <v>4608</v>
      </c>
      <c r="J21" s="282">
        <f>+I21/I22*100</f>
        <v>77.824691775038005</v>
      </c>
      <c r="K21" s="70">
        <v>3970</v>
      </c>
      <c r="L21" s="284">
        <f>+K21/K22*100</f>
        <v>66.610738255033553</v>
      </c>
      <c r="M21" s="171">
        <v>58.20079522862823</v>
      </c>
      <c r="N21" s="171">
        <v>58.748943364327978</v>
      </c>
      <c r="O21" s="171">
        <v>24.621804903495047</v>
      </c>
      <c r="P21" s="180">
        <v>31.241731241731241</v>
      </c>
      <c r="Q21" s="161">
        <v>82.573324769856555</v>
      </c>
      <c r="R21" s="161">
        <v>37.623364444245972</v>
      </c>
      <c r="S21" s="161">
        <v>48.77</v>
      </c>
      <c r="T21" s="161" t="s">
        <v>44</v>
      </c>
      <c r="U21" s="278" t="s">
        <v>175</v>
      </c>
    </row>
    <row r="22" spans="1:23" ht="19.5" customHeight="1" x14ac:dyDescent="0.25">
      <c r="B22" s="160"/>
      <c r="C22" s="70">
        <f>+'[1]Indicadores 2024-2025 TSU '!C22+'[1]Indicadores 2024-2025 ING '!C22+'[1]Indicadores 2024-2025 POSGRADO'!C22</f>
        <v>6844</v>
      </c>
      <c r="D22" s="172"/>
      <c r="E22" s="70">
        <v>6451</v>
      </c>
      <c r="F22" s="172"/>
      <c r="G22" s="70">
        <v>6056</v>
      </c>
      <c r="H22" s="172"/>
      <c r="I22" s="70">
        <v>5921</v>
      </c>
      <c r="J22" s="283"/>
      <c r="K22" s="70">
        <v>5960</v>
      </c>
      <c r="L22" s="285"/>
      <c r="M22" s="172"/>
      <c r="N22" s="172"/>
      <c r="O22" s="172"/>
      <c r="P22" s="181"/>
      <c r="Q22" s="162"/>
      <c r="R22" s="162"/>
      <c r="S22" s="162"/>
      <c r="T22" s="162"/>
      <c r="U22" s="279"/>
    </row>
    <row r="23" spans="1:23" ht="19.5" customHeight="1" x14ac:dyDescent="0.25">
      <c r="B23" s="159" t="s">
        <v>10</v>
      </c>
      <c r="C23" s="70">
        <f>+'[1]Indicadores 2024-2025 TSU '!C23+'[1]Indicadores 2024-2025 ING '!C23+'[1]Indicadores 2024-2025 POSGRADO'!C23</f>
        <v>835</v>
      </c>
      <c r="D23" s="171">
        <f>+C23/C24*100</f>
        <v>12.200467562828756</v>
      </c>
      <c r="E23" s="70">
        <v>1003</v>
      </c>
      <c r="F23" s="171">
        <f>+E23/E24*100</f>
        <v>15.547977057820491</v>
      </c>
      <c r="G23" s="70">
        <v>1148</v>
      </c>
      <c r="H23" s="171">
        <f>+G23/G24*100</f>
        <v>18.956406869220608</v>
      </c>
      <c r="I23" s="70">
        <v>1321</v>
      </c>
      <c r="J23" s="282">
        <f>+I23/I24*100</f>
        <v>22.31042053707144</v>
      </c>
      <c r="K23" s="70">
        <v>1139</v>
      </c>
      <c r="L23" s="284">
        <f>+K23/K24*100</f>
        <v>19.110738255033556</v>
      </c>
      <c r="M23" s="171">
        <v>15.689198144466534</v>
      </c>
      <c r="N23" s="171">
        <v>16.145393068469989</v>
      </c>
      <c r="O23" s="171">
        <v>15.371239784385324</v>
      </c>
      <c r="P23" s="180">
        <v>15.894915894915895</v>
      </c>
      <c r="Q23" s="161">
        <v>16.870049239991435</v>
      </c>
      <c r="R23" s="161">
        <v>5.8707573736475469</v>
      </c>
      <c r="S23" s="161">
        <v>4.53</v>
      </c>
      <c r="T23" s="161" t="s">
        <v>44</v>
      </c>
      <c r="U23" s="278" t="s">
        <v>157</v>
      </c>
    </row>
    <row r="24" spans="1:23" ht="19.5" customHeight="1" x14ac:dyDescent="0.25">
      <c r="B24" s="160"/>
      <c r="C24" s="70">
        <f>+'[1]Indicadores 2024-2025 TSU '!C24+'[1]Indicadores 2024-2025 ING '!C24+'[1]Indicadores 2024-2025 POSGRADO'!C24</f>
        <v>6844</v>
      </c>
      <c r="D24" s="172"/>
      <c r="E24" s="70">
        <v>6451</v>
      </c>
      <c r="F24" s="172"/>
      <c r="G24" s="70">
        <v>6056</v>
      </c>
      <c r="H24" s="172"/>
      <c r="I24" s="70">
        <v>5921</v>
      </c>
      <c r="J24" s="283"/>
      <c r="K24" s="70">
        <v>5960</v>
      </c>
      <c r="L24" s="285"/>
      <c r="M24" s="172"/>
      <c r="N24" s="172"/>
      <c r="O24" s="172"/>
      <c r="P24" s="181"/>
      <c r="Q24" s="162"/>
      <c r="R24" s="162"/>
      <c r="S24" s="162"/>
      <c r="T24" s="162"/>
      <c r="U24" s="279"/>
    </row>
    <row r="25" spans="1:23" ht="18.75" hidden="1" customHeight="1" x14ac:dyDescent="0.25">
      <c r="A25" s="168"/>
      <c r="B25" s="270" t="s">
        <v>63</v>
      </c>
      <c r="C25" s="138">
        <v>6844</v>
      </c>
      <c r="D25" s="272">
        <f>+C25/C26*100</f>
        <v>100</v>
      </c>
      <c r="E25" s="117">
        <v>6451</v>
      </c>
      <c r="F25" s="244">
        <f>+E25/E26*100</f>
        <v>100</v>
      </c>
      <c r="G25" s="70">
        <v>6056</v>
      </c>
      <c r="H25" s="161">
        <f>+G25/G26*100</f>
        <v>100</v>
      </c>
      <c r="I25" s="70">
        <v>5921</v>
      </c>
      <c r="J25" s="161">
        <f>+I25/I26*100</f>
        <v>100</v>
      </c>
      <c r="K25" s="70">
        <v>5960</v>
      </c>
      <c r="L25" s="161">
        <f>+K25/K26*100</f>
        <v>100</v>
      </c>
      <c r="M25" s="171">
        <v>100</v>
      </c>
      <c r="N25" s="171">
        <v>100</v>
      </c>
      <c r="O25" s="294"/>
      <c r="P25" s="294"/>
      <c r="Q25" s="294"/>
      <c r="R25" s="294"/>
      <c r="S25" s="294"/>
      <c r="T25" s="163" t="s">
        <v>64</v>
      </c>
      <c r="U25" s="163"/>
    </row>
    <row r="26" spans="1:23" ht="18.75" hidden="1" customHeight="1" x14ac:dyDescent="0.25">
      <c r="A26" s="168"/>
      <c r="B26" s="271"/>
      <c r="C26" s="138">
        <v>6844</v>
      </c>
      <c r="D26" s="272"/>
      <c r="E26" s="117">
        <v>6451</v>
      </c>
      <c r="F26" s="245"/>
      <c r="G26" s="70">
        <v>6056</v>
      </c>
      <c r="H26" s="162"/>
      <c r="I26" s="70">
        <v>5921</v>
      </c>
      <c r="J26" s="162"/>
      <c r="K26" s="70">
        <v>5960</v>
      </c>
      <c r="L26" s="162"/>
      <c r="M26" s="172"/>
      <c r="N26" s="172"/>
      <c r="O26" s="295"/>
      <c r="P26" s="295"/>
      <c r="Q26" s="295"/>
      <c r="R26" s="295"/>
      <c r="S26" s="295"/>
      <c r="T26" s="164"/>
      <c r="U26" s="164"/>
    </row>
    <row r="27" spans="1:23" ht="18.75" hidden="1" customHeight="1" x14ac:dyDescent="0.25">
      <c r="B27" s="270" t="s">
        <v>103</v>
      </c>
      <c r="C27" s="138">
        <v>123</v>
      </c>
      <c r="D27" s="256">
        <f>+C27/C28*100</f>
        <v>1.7971946230274694</v>
      </c>
      <c r="E27" s="117">
        <v>129</v>
      </c>
      <c r="F27" s="244">
        <f>+E27/E28*100</f>
        <v>1.999689970547202</v>
      </c>
      <c r="G27" s="70">
        <v>182</v>
      </c>
      <c r="H27" s="161">
        <f>+G27/G28*100</f>
        <v>3.0052840158520477</v>
      </c>
      <c r="I27" s="70">
        <v>262</v>
      </c>
      <c r="J27" s="161">
        <f>+I27/I28*100</f>
        <v>4.4249282215841923</v>
      </c>
      <c r="K27" s="70">
        <v>288</v>
      </c>
      <c r="L27" s="161">
        <f>+K27/K28*100</f>
        <v>4.8322147651006713</v>
      </c>
      <c r="M27" s="171">
        <v>4.5228628230616303</v>
      </c>
      <c r="N27" s="171">
        <v>3.9560439560439558</v>
      </c>
      <c r="O27" s="294"/>
      <c r="P27" s="294"/>
      <c r="Q27" s="294"/>
      <c r="R27" s="294"/>
      <c r="S27" s="294"/>
      <c r="T27" s="163" t="s">
        <v>44</v>
      </c>
      <c r="U27" s="163"/>
    </row>
    <row r="28" spans="1:23" ht="18.75" hidden="1" customHeight="1" x14ac:dyDescent="0.25">
      <c r="B28" s="271"/>
      <c r="C28" s="138">
        <v>6844</v>
      </c>
      <c r="D28" s="256"/>
      <c r="E28" s="117">
        <v>6451</v>
      </c>
      <c r="F28" s="245"/>
      <c r="G28" s="70">
        <v>6056</v>
      </c>
      <c r="H28" s="162"/>
      <c r="I28" s="70">
        <v>5921</v>
      </c>
      <c r="J28" s="162"/>
      <c r="K28" s="70">
        <v>5960</v>
      </c>
      <c r="L28" s="162"/>
      <c r="M28" s="172"/>
      <c r="N28" s="172"/>
      <c r="O28" s="295"/>
      <c r="P28" s="295"/>
      <c r="Q28" s="295"/>
      <c r="R28" s="295"/>
      <c r="S28" s="295"/>
      <c r="T28" s="164"/>
      <c r="U28" s="164"/>
    </row>
    <row r="29" spans="1:23" ht="45" customHeight="1" x14ac:dyDescent="0.25">
      <c r="B29" s="50" t="s">
        <v>11</v>
      </c>
      <c r="C29" s="50" t="s">
        <v>2</v>
      </c>
      <c r="D29" s="50" t="s">
        <v>3</v>
      </c>
      <c r="E29" s="50" t="s">
        <v>2</v>
      </c>
      <c r="F29" s="50" t="s">
        <v>3</v>
      </c>
      <c r="G29" s="50" t="s">
        <v>2</v>
      </c>
      <c r="H29" s="50" t="s">
        <v>3</v>
      </c>
      <c r="I29" s="50" t="s">
        <v>2</v>
      </c>
      <c r="J29" s="50" t="s">
        <v>3</v>
      </c>
      <c r="K29" s="50" t="s">
        <v>2</v>
      </c>
      <c r="L29" s="50" t="s">
        <v>3</v>
      </c>
      <c r="M29" s="50" t="s">
        <v>3</v>
      </c>
      <c r="N29" s="50" t="s">
        <v>3</v>
      </c>
      <c r="O29" s="50" t="s">
        <v>3</v>
      </c>
      <c r="P29" s="50" t="s">
        <v>3</v>
      </c>
      <c r="Q29" s="50" t="s">
        <v>3</v>
      </c>
      <c r="R29" s="50" t="s">
        <v>3</v>
      </c>
      <c r="S29" s="50" t="s">
        <v>3</v>
      </c>
      <c r="T29" s="51" t="s">
        <v>43</v>
      </c>
      <c r="U29" s="62" t="s">
        <v>152</v>
      </c>
      <c r="W29" s="127" t="s">
        <v>188</v>
      </c>
    </row>
    <row r="30" spans="1:23" ht="18" customHeight="1" x14ac:dyDescent="0.25">
      <c r="B30" s="159" t="s">
        <v>12</v>
      </c>
      <c r="C30" s="70">
        <v>6844</v>
      </c>
      <c r="D30" s="166">
        <f>SUM(C30)/C31</f>
        <v>28.877637130801688</v>
      </c>
      <c r="E30" s="70">
        <v>6451</v>
      </c>
      <c r="F30" s="166">
        <f>SUM(E30)/E31</f>
        <v>27.926406926406926</v>
      </c>
      <c r="G30" s="70">
        <v>6056</v>
      </c>
      <c r="H30" s="166">
        <f>SUM(G30)/G31</f>
        <v>25.991416309012877</v>
      </c>
      <c r="I30" s="70">
        <v>5921</v>
      </c>
      <c r="J30" s="263">
        <f>SUM(I30)/I31</f>
        <v>25.195744680851064</v>
      </c>
      <c r="K30" s="74">
        <v>5960</v>
      </c>
      <c r="L30" s="166">
        <f>SUM(K30)/K31</f>
        <v>26.607142857142858</v>
      </c>
      <c r="M30" s="166">
        <v>26.243478260869566</v>
      </c>
      <c r="N30" s="166">
        <v>25.386266094420602</v>
      </c>
      <c r="O30" s="166">
        <v>26.502304147465438</v>
      </c>
      <c r="P30" s="298">
        <v>26.064039408866996</v>
      </c>
      <c r="Q30" s="166">
        <v>27.639053254437869</v>
      </c>
      <c r="R30" s="166">
        <v>29.335807860262008</v>
      </c>
      <c r="S30" s="166">
        <v>23</v>
      </c>
      <c r="T30" s="161" t="s">
        <v>45</v>
      </c>
      <c r="U30" s="290" t="s">
        <v>159</v>
      </c>
      <c r="V30" s="63"/>
    </row>
    <row r="31" spans="1:23" ht="18" customHeight="1" x14ac:dyDescent="0.25">
      <c r="B31" s="160"/>
      <c r="C31" s="132">
        <v>237</v>
      </c>
      <c r="D31" s="167"/>
      <c r="E31" s="70">
        <v>231</v>
      </c>
      <c r="F31" s="167"/>
      <c r="G31" s="70">
        <v>233</v>
      </c>
      <c r="H31" s="167"/>
      <c r="I31" s="70">
        <v>235</v>
      </c>
      <c r="J31" s="264"/>
      <c r="K31" s="74">
        <v>224</v>
      </c>
      <c r="L31" s="167"/>
      <c r="M31" s="167"/>
      <c r="N31" s="167"/>
      <c r="O31" s="167"/>
      <c r="P31" s="299"/>
      <c r="Q31" s="167"/>
      <c r="R31" s="167"/>
      <c r="S31" s="167"/>
      <c r="T31" s="162"/>
      <c r="U31" s="291"/>
      <c r="V31" s="63"/>
    </row>
    <row r="32" spans="1:23" ht="18" customHeight="1" x14ac:dyDescent="0.25">
      <c r="B32" s="159" t="s">
        <v>13</v>
      </c>
      <c r="C32" s="132">
        <v>171</v>
      </c>
      <c r="D32" s="161">
        <f>SUM(C32)/C33*100</f>
        <v>72.151898734177209</v>
      </c>
      <c r="E32" s="70">
        <v>183</v>
      </c>
      <c r="F32" s="161">
        <f>SUM(E32)/E33*100</f>
        <v>79.220779220779221</v>
      </c>
      <c r="G32" s="70">
        <v>222</v>
      </c>
      <c r="H32" s="161">
        <f>SUM(G32)/G33*100</f>
        <v>95.278969957081543</v>
      </c>
      <c r="I32" s="70">
        <v>209</v>
      </c>
      <c r="J32" s="261">
        <f>SUM(I32)/I33*100</f>
        <v>88.936170212765958</v>
      </c>
      <c r="K32" s="74">
        <v>222</v>
      </c>
      <c r="L32" s="161">
        <f>SUM(K32)/K33*100</f>
        <v>99.107142857142861</v>
      </c>
      <c r="M32" s="161">
        <v>99.565217391304344</v>
      </c>
      <c r="N32" s="161">
        <v>96.137339055793987</v>
      </c>
      <c r="O32" s="161">
        <v>97.235023041474662</v>
      </c>
      <c r="P32" s="180">
        <v>100</v>
      </c>
      <c r="Q32" s="161">
        <v>92.899408284023664</v>
      </c>
      <c r="R32" s="161">
        <v>75.862068965517238</v>
      </c>
      <c r="S32" s="161">
        <v>77.86</v>
      </c>
      <c r="T32" s="161" t="s">
        <v>45</v>
      </c>
      <c r="U32" s="278" t="s">
        <v>179</v>
      </c>
      <c r="V32" s="63"/>
    </row>
    <row r="33" spans="2:23" ht="18" customHeight="1" x14ac:dyDescent="0.25">
      <c r="B33" s="160"/>
      <c r="C33" s="132">
        <v>237</v>
      </c>
      <c r="D33" s="162"/>
      <c r="E33" s="70">
        <v>231</v>
      </c>
      <c r="F33" s="162"/>
      <c r="G33" s="70">
        <v>233</v>
      </c>
      <c r="H33" s="162"/>
      <c r="I33" s="70">
        <v>235</v>
      </c>
      <c r="J33" s="262"/>
      <c r="K33" s="74">
        <v>224</v>
      </c>
      <c r="L33" s="162"/>
      <c r="M33" s="162"/>
      <c r="N33" s="162"/>
      <c r="O33" s="162"/>
      <c r="P33" s="181"/>
      <c r="Q33" s="162"/>
      <c r="R33" s="162"/>
      <c r="S33" s="162"/>
      <c r="T33" s="162"/>
      <c r="U33" s="279"/>
      <c r="V33" s="63"/>
    </row>
    <row r="34" spans="2:23" ht="18" customHeight="1" x14ac:dyDescent="0.25">
      <c r="B34" s="159" t="s">
        <v>14</v>
      </c>
      <c r="C34" s="132">
        <v>235</v>
      </c>
      <c r="D34" s="161">
        <f>SUM(C34)/C35*100</f>
        <v>99.156118143459921</v>
      </c>
      <c r="E34" s="70">
        <v>224</v>
      </c>
      <c r="F34" s="161">
        <f>SUM(E34)/E35*100</f>
        <v>96.969696969696969</v>
      </c>
      <c r="G34" s="70">
        <v>233</v>
      </c>
      <c r="H34" s="161">
        <f>SUM(G34)/G35*100</f>
        <v>100</v>
      </c>
      <c r="I34" s="70">
        <v>235</v>
      </c>
      <c r="J34" s="261">
        <f>SUM(I34)/I35*100</f>
        <v>100</v>
      </c>
      <c r="K34" s="74">
        <v>224</v>
      </c>
      <c r="L34" s="161">
        <f>SUM(K34)/K35*100</f>
        <v>100</v>
      </c>
      <c r="M34" s="161">
        <v>100</v>
      </c>
      <c r="N34" s="161">
        <v>96.995708154506431</v>
      </c>
      <c r="O34" s="161">
        <v>97.695852534562206</v>
      </c>
      <c r="P34" s="180">
        <v>95.566502463054192</v>
      </c>
      <c r="Q34" s="161">
        <v>84.615384615384613</v>
      </c>
      <c r="R34" s="161">
        <v>81.167108753315659</v>
      </c>
      <c r="S34" s="161">
        <v>76.23</v>
      </c>
      <c r="T34" s="161" t="s">
        <v>45</v>
      </c>
      <c r="U34" s="278" t="s">
        <v>180</v>
      </c>
      <c r="V34" s="63"/>
    </row>
    <row r="35" spans="2:23" ht="18" customHeight="1" x14ac:dyDescent="0.25">
      <c r="B35" s="160"/>
      <c r="C35" s="132">
        <v>237</v>
      </c>
      <c r="D35" s="162"/>
      <c r="E35" s="70">
        <v>231</v>
      </c>
      <c r="F35" s="162"/>
      <c r="G35" s="70">
        <v>233</v>
      </c>
      <c r="H35" s="162"/>
      <c r="I35" s="70">
        <v>235</v>
      </c>
      <c r="J35" s="262"/>
      <c r="K35" s="74">
        <v>224</v>
      </c>
      <c r="L35" s="162"/>
      <c r="M35" s="162"/>
      <c r="N35" s="162"/>
      <c r="O35" s="162"/>
      <c r="P35" s="181"/>
      <c r="Q35" s="162"/>
      <c r="R35" s="162"/>
      <c r="S35" s="162"/>
      <c r="T35" s="162"/>
      <c r="U35" s="279"/>
      <c r="V35" s="63"/>
    </row>
    <row r="36" spans="2:23" ht="18" customHeight="1" x14ac:dyDescent="0.25">
      <c r="B36" s="159" t="s">
        <v>15</v>
      </c>
      <c r="C36" s="132">
        <v>110</v>
      </c>
      <c r="D36" s="161">
        <f>SUM(C36)/C37*100</f>
        <v>46.413502109704638</v>
      </c>
      <c r="E36" s="70">
        <v>105</v>
      </c>
      <c r="F36" s="161">
        <f>SUM(E36)/E37*100</f>
        <v>45.454545454545453</v>
      </c>
      <c r="G36" s="70">
        <v>104</v>
      </c>
      <c r="H36" s="161">
        <f>SUM(G36)/G37*100</f>
        <v>44.63519313304721</v>
      </c>
      <c r="I36" s="70">
        <v>99</v>
      </c>
      <c r="J36" s="261">
        <f>SUM(I36)/I37*100</f>
        <v>42.127659574468083</v>
      </c>
      <c r="K36" s="74">
        <v>86</v>
      </c>
      <c r="L36" s="161">
        <f>SUM(K36)/K37*100</f>
        <v>38.392857142857146</v>
      </c>
      <c r="M36" s="161">
        <v>36.086956521739133</v>
      </c>
      <c r="N36" s="161">
        <v>34.334763948497852</v>
      </c>
      <c r="O36" s="161">
        <v>33.640552995391701</v>
      </c>
      <c r="P36" s="180">
        <v>32.512315270935957</v>
      </c>
      <c r="Q36" s="161">
        <v>27.218934911242602</v>
      </c>
      <c r="R36" s="161">
        <v>41.069849690539343</v>
      </c>
      <c r="S36" s="161">
        <v>42.48</v>
      </c>
      <c r="T36" s="161" t="s">
        <v>45</v>
      </c>
      <c r="U36" s="278" t="s">
        <v>181</v>
      </c>
      <c r="V36" s="63"/>
    </row>
    <row r="37" spans="2:23" ht="18" customHeight="1" x14ac:dyDescent="0.25">
      <c r="B37" s="160"/>
      <c r="C37" s="132">
        <v>237</v>
      </c>
      <c r="D37" s="162"/>
      <c r="E37" s="70">
        <v>231</v>
      </c>
      <c r="F37" s="162"/>
      <c r="G37" s="70">
        <v>233</v>
      </c>
      <c r="H37" s="162"/>
      <c r="I37" s="70">
        <v>235</v>
      </c>
      <c r="J37" s="262"/>
      <c r="K37" s="74">
        <v>224</v>
      </c>
      <c r="L37" s="162"/>
      <c r="M37" s="162"/>
      <c r="N37" s="162"/>
      <c r="O37" s="162"/>
      <c r="P37" s="181"/>
      <c r="Q37" s="162"/>
      <c r="R37" s="162"/>
      <c r="S37" s="162"/>
      <c r="T37" s="162"/>
      <c r="U37" s="279"/>
      <c r="V37" s="63"/>
    </row>
    <row r="38" spans="2:23" ht="18" customHeight="1" x14ac:dyDescent="0.25">
      <c r="B38" s="159" t="s">
        <v>16</v>
      </c>
      <c r="C38" s="132">
        <v>193</v>
      </c>
      <c r="D38" s="161">
        <f>SUM(C38)/C39*100</f>
        <v>81.434599156118153</v>
      </c>
      <c r="E38" s="70">
        <v>184</v>
      </c>
      <c r="F38" s="161">
        <f>SUM(E38)/E39*100</f>
        <v>79.65367965367966</v>
      </c>
      <c r="G38" s="70">
        <v>154</v>
      </c>
      <c r="H38" s="161">
        <f>SUM(G38)/G39*100</f>
        <v>66.094420600858371</v>
      </c>
      <c r="I38" s="70">
        <v>165</v>
      </c>
      <c r="J38" s="261">
        <f>SUM(I38)/I39*100</f>
        <v>70.212765957446805</v>
      </c>
      <c r="K38" s="74">
        <v>154</v>
      </c>
      <c r="L38" s="161">
        <f>SUM(K38)/K39*100</f>
        <v>68.75</v>
      </c>
      <c r="M38" s="161">
        <v>56.956521739130437</v>
      </c>
      <c r="N38" s="161">
        <v>88.841201716738198</v>
      </c>
      <c r="O38" s="161">
        <v>77.880184331797224</v>
      </c>
      <c r="P38" s="180">
        <v>87.684729064039416</v>
      </c>
      <c r="Q38" s="161">
        <v>56.80473372781065</v>
      </c>
      <c r="R38" s="161">
        <v>25.14423076923077</v>
      </c>
      <c r="S38" s="161">
        <v>17.59</v>
      </c>
      <c r="T38" s="261" t="s">
        <v>45</v>
      </c>
      <c r="U38" s="290" t="s">
        <v>160</v>
      </c>
    </row>
    <row r="39" spans="2:23" ht="18" customHeight="1" x14ac:dyDescent="0.25">
      <c r="B39" s="160"/>
      <c r="C39" s="132">
        <v>237</v>
      </c>
      <c r="D39" s="162"/>
      <c r="E39" s="70">
        <v>231</v>
      </c>
      <c r="F39" s="162"/>
      <c r="G39" s="70">
        <v>233</v>
      </c>
      <c r="H39" s="162"/>
      <c r="I39" s="70">
        <v>235</v>
      </c>
      <c r="J39" s="262"/>
      <c r="K39" s="74">
        <v>224</v>
      </c>
      <c r="L39" s="162"/>
      <c r="M39" s="162"/>
      <c r="N39" s="162"/>
      <c r="O39" s="162"/>
      <c r="P39" s="181"/>
      <c r="Q39" s="162"/>
      <c r="R39" s="162"/>
      <c r="S39" s="162"/>
      <c r="T39" s="262"/>
      <c r="U39" s="291"/>
    </row>
    <row r="40" spans="2:23" ht="18" customHeight="1" x14ac:dyDescent="0.25">
      <c r="B40" s="169" t="s">
        <v>17</v>
      </c>
      <c r="C40" s="132">
        <v>237</v>
      </c>
      <c r="D40" s="171">
        <f>+C40/C41*100</f>
        <v>100</v>
      </c>
      <c r="E40" s="70">
        <v>231</v>
      </c>
      <c r="F40" s="171">
        <f>+E40/E41*100</f>
        <v>100</v>
      </c>
      <c r="G40" s="70">
        <v>233</v>
      </c>
      <c r="H40" s="171">
        <f>+G40/G41*100</f>
        <v>100</v>
      </c>
      <c r="I40" s="70">
        <v>235</v>
      </c>
      <c r="J40" s="282">
        <f>+I40/I41*100</f>
        <v>100</v>
      </c>
      <c r="K40" s="74">
        <v>224</v>
      </c>
      <c r="L40" s="284">
        <f>+K40/K41*100</f>
        <v>100</v>
      </c>
      <c r="M40" s="171">
        <v>99.565217391304344</v>
      </c>
      <c r="N40" s="171">
        <v>98.712446351931334</v>
      </c>
      <c r="O40" s="171">
        <v>99.078341013824883</v>
      </c>
      <c r="P40" s="180">
        <v>94.581280788177338</v>
      </c>
      <c r="Q40" s="161">
        <v>97.633136094674555</v>
      </c>
      <c r="R40" s="161">
        <v>99.071618037135281</v>
      </c>
      <c r="S40" s="161">
        <v>97.73</v>
      </c>
      <c r="T40" s="261" t="s">
        <v>45</v>
      </c>
      <c r="U40" s="278" t="s">
        <v>182</v>
      </c>
    </row>
    <row r="41" spans="2:23" ht="18" customHeight="1" x14ac:dyDescent="0.25">
      <c r="B41" s="170"/>
      <c r="C41" s="132">
        <v>237</v>
      </c>
      <c r="D41" s="172"/>
      <c r="E41" s="70">
        <v>231</v>
      </c>
      <c r="F41" s="172"/>
      <c r="G41" s="70">
        <v>233</v>
      </c>
      <c r="H41" s="172"/>
      <c r="I41" s="70">
        <v>235</v>
      </c>
      <c r="J41" s="283"/>
      <c r="K41" s="74">
        <v>224</v>
      </c>
      <c r="L41" s="285"/>
      <c r="M41" s="172"/>
      <c r="N41" s="172"/>
      <c r="O41" s="172"/>
      <c r="P41" s="181"/>
      <c r="Q41" s="162"/>
      <c r="R41" s="162"/>
      <c r="S41" s="162"/>
      <c r="T41" s="262"/>
      <c r="U41" s="279"/>
    </row>
    <row r="42" spans="2:23" ht="51" customHeight="1" x14ac:dyDescent="0.25">
      <c r="B42" s="50" t="s">
        <v>18</v>
      </c>
      <c r="C42" s="50" t="s">
        <v>2</v>
      </c>
      <c r="D42" s="50" t="s">
        <v>3</v>
      </c>
      <c r="E42" s="50" t="s">
        <v>2</v>
      </c>
      <c r="F42" s="50" t="s">
        <v>3</v>
      </c>
      <c r="G42" s="50" t="s">
        <v>2</v>
      </c>
      <c r="H42" s="50" t="s">
        <v>3</v>
      </c>
      <c r="I42" s="50" t="s">
        <v>2</v>
      </c>
      <c r="J42" s="50" t="s">
        <v>3</v>
      </c>
      <c r="K42" s="50" t="s">
        <v>2</v>
      </c>
      <c r="L42" s="50" t="s">
        <v>3</v>
      </c>
      <c r="M42" s="50" t="s">
        <v>3</v>
      </c>
      <c r="N42" s="50" t="s">
        <v>3</v>
      </c>
      <c r="O42" s="50" t="s">
        <v>3</v>
      </c>
      <c r="P42" s="50" t="s">
        <v>3</v>
      </c>
      <c r="Q42" s="50" t="s">
        <v>3</v>
      </c>
      <c r="R42" s="50" t="s">
        <v>3</v>
      </c>
      <c r="S42" s="50" t="s">
        <v>3</v>
      </c>
      <c r="T42" s="51" t="s">
        <v>43</v>
      </c>
      <c r="U42" s="62" t="s">
        <v>152</v>
      </c>
      <c r="W42" s="127" t="s">
        <v>188</v>
      </c>
    </row>
    <row r="43" spans="2:23" ht="18.75" customHeight="1" x14ac:dyDescent="0.25">
      <c r="B43" s="159" t="s">
        <v>19</v>
      </c>
      <c r="C43" s="70">
        <f>+'[1]Indicadores 2024-2025 TSU '!C43+'[1]Indicadores 2024-2025 ING '!C43+'[1]Indicadores 2024-2025 POSGRADO'!C43</f>
        <v>2480</v>
      </c>
      <c r="D43" s="161">
        <f>SUM(C43)/C44*100</f>
        <v>94.548227220739605</v>
      </c>
      <c r="E43" s="70">
        <v>2232</v>
      </c>
      <c r="F43" s="161">
        <f>SUM(E43)/E44*100</f>
        <v>94.857628559286027</v>
      </c>
      <c r="G43" s="70">
        <v>2162</v>
      </c>
      <c r="H43" s="161">
        <f>+G43/G44*100</f>
        <v>93.836805555555557</v>
      </c>
      <c r="I43" s="52"/>
      <c r="J43" s="173" t="s">
        <v>20</v>
      </c>
      <c r="K43" s="83"/>
      <c r="L43" s="173" t="s">
        <v>20</v>
      </c>
      <c r="M43" s="173" t="s">
        <v>20</v>
      </c>
      <c r="N43" s="173" t="s">
        <v>20</v>
      </c>
      <c r="O43" s="173" t="s">
        <v>20</v>
      </c>
      <c r="P43" s="173" t="s">
        <v>20</v>
      </c>
      <c r="Q43" s="173" t="s">
        <v>20</v>
      </c>
      <c r="R43" s="161">
        <v>93.607882769075289</v>
      </c>
      <c r="S43" s="161">
        <v>81.180000000000007</v>
      </c>
      <c r="T43" s="161" t="s">
        <v>44</v>
      </c>
      <c r="U43" s="278" t="s">
        <v>161</v>
      </c>
    </row>
    <row r="44" spans="2:23" ht="18.75" customHeight="1" x14ac:dyDescent="0.25">
      <c r="B44" s="160"/>
      <c r="C44" s="70">
        <f>+'[1]Indicadores 2024-2025 TSU '!C44+'[1]Indicadores 2024-2025 ING '!C44+'[1]Indicadores 2024-2025 POSGRADO'!C44</f>
        <v>2623</v>
      </c>
      <c r="D44" s="162"/>
      <c r="E44" s="70">
        <v>2353</v>
      </c>
      <c r="F44" s="162"/>
      <c r="G44" s="70">
        <v>2304</v>
      </c>
      <c r="H44" s="162"/>
      <c r="I44" s="52"/>
      <c r="J44" s="174"/>
      <c r="K44" s="83"/>
      <c r="L44" s="174"/>
      <c r="M44" s="174"/>
      <c r="N44" s="174"/>
      <c r="O44" s="174"/>
      <c r="P44" s="174"/>
      <c r="Q44" s="174"/>
      <c r="R44" s="162"/>
      <c r="S44" s="162"/>
      <c r="T44" s="162"/>
      <c r="U44" s="279"/>
    </row>
    <row r="45" spans="2:23" ht="18.75" customHeight="1" x14ac:dyDescent="0.25">
      <c r="B45" s="159" t="s">
        <v>21</v>
      </c>
      <c r="C45" s="132">
        <v>1794</v>
      </c>
      <c r="D45" s="161">
        <f>SUM(C45)/C46*100</f>
        <v>26.212741087083575</v>
      </c>
      <c r="E45" s="70">
        <v>1727</v>
      </c>
      <c r="F45" s="161">
        <f>SUM(E45)/E46*100</f>
        <v>26.771043249108669</v>
      </c>
      <c r="G45" s="70">
        <v>1793</v>
      </c>
      <c r="H45" s="161">
        <f>SUM(G45)/G46*100</f>
        <v>29.607001321003963</v>
      </c>
      <c r="I45" s="70">
        <v>975</v>
      </c>
      <c r="J45" s="261">
        <f>SUM(I45)/I46*100</f>
        <v>16.466813038338117</v>
      </c>
      <c r="K45" s="74">
        <v>660</v>
      </c>
      <c r="L45" s="161">
        <f>SUM(K45)/K46*100</f>
        <v>11.073825503355705</v>
      </c>
      <c r="M45" s="161">
        <v>17.163684559310802</v>
      </c>
      <c r="N45" s="161">
        <v>15.452240067624684</v>
      </c>
      <c r="O45" s="161">
        <v>17.353503738480264</v>
      </c>
      <c r="P45" s="161">
        <v>17.652617652617653</v>
      </c>
      <c r="Q45" s="161">
        <v>17.298223078569901</v>
      </c>
      <c r="R45" s="161">
        <v>36.035070483335566</v>
      </c>
      <c r="S45" s="161">
        <v>33.35</v>
      </c>
      <c r="T45" s="261" t="s">
        <v>46</v>
      </c>
      <c r="U45" s="278" t="s">
        <v>162</v>
      </c>
    </row>
    <row r="46" spans="2:23" ht="18.75" customHeight="1" x14ac:dyDescent="0.25">
      <c r="B46" s="160"/>
      <c r="C46" s="132">
        <v>6844</v>
      </c>
      <c r="D46" s="162"/>
      <c r="E46" s="70">
        <v>6451</v>
      </c>
      <c r="F46" s="162"/>
      <c r="G46" s="70">
        <v>6056</v>
      </c>
      <c r="H46" s="162"/>
      <c r="I46" s="70">
        <v>5921</v>
      </c>
      <c r="J46" s="262"/>
      <c r="K46" s="74">
        <v>5960</v>
      </c>
      <c r="L46" s="162"/>
      <c r="M46" s="162"/>
      <c r="N46" s="162"/>
      <c r="O46" s="162"/>
      <c r="P46" s="162"/>
      <c r="Q46" s="162"/>
      <c r="R46" s="162"/>
      <c r="S46" s="162"/>
      <c r="T46" s="262"/>
      <c r="U46" s="279"/>
    </row>
    <row r="47" spans="2:23" ht="18.75" customHeight="1" x14ac:dyDescent="0.25">
      <c r="B47" s="159" t="s">
        <v>22</v>
      </c>
      <c r="C47" s="132">
        <v>1369</v>
      </c>
      <c r="D47" s="161">
        <f>SUM(C47)/C48*100</f>
        <v>20.002922267679722</v>
      </c>
      <c r="E47" s="70">
        <v>1427</v>
      </c>
      <c r="F47" s="161">
        <f>SUM(E47)/E48*100</f>
        <v>22.120601457138427</v>
      </c>
      <c r="G47" s="70">
        <v>1365</v>
      </c>
      <c r="H47" s="161">
        <f>SUM(G47)/G48*100</f>
        <v>22.539630118890358</v>
      </c>
      <c r="I47" s="70">
        <v>593</v>
      </c>
      <c r="J47" s="261">
        <f>SUM(I47)/I48*100</f>
        <v>10.015200135112313</v>
      </c>
      <c r="K47" s="74">
        <v>500</v>
      </c>
      <c r="L47" s="161">
        <f>SUM(K47)/K48*100</f>
        <v>8.3892617449664435</v>
      </c>
      <c r="M47" s="161">
        <v>11.96156394963552</v>
      </c>
      <c r="N47" s="161">
        <v>10.5156382079459</v>
      </c>
      <c r="O47" s="161">
        <v>13.962789080159974</v>
      </c>
      <c r="P47" s="161">
        <v>14.7987147987148</v>
      </c>
      <c r="Q47" s="161">
        <v>18.518518518518519</v>
      </c>
      <c r="R47" s="161">
        <v>39.829736390112764</v>
      </c>
      <c r="S47" s="161">
        <v>26.53</v>
      </c>
      <c r="T47" s="261" t="s">
        <v>46</v>
      </c>
      <c r="U47" s="278" t="s">
        <v>163</v>
      </c>
    </row>
    <row r="48" spans="2:23" ht="18.600000000000001" customHeight="1" x14ac:dyDescent="0.25">
      <c r="B48" s="160"/>
      <c r="C48" s="132">
        <v>6844</v>
      </c>
      <c r="D48" s="162"/>
      <c r="E48" s="70">
        <v>6451</v>
      </c>
      <c r="F48" s="162"/>
      <c r="G48" s="70">
        <v>6056</v>
      </c>
      <c r="H48" s="162"/>
      <c r="I48" s="70">
        <v>5921</v>
      </c>
      <c r="J48" s="262"/>
      <c r="K48" s="74">
        <v>5960</v>
      </c>
      <c r="L48" s="162"/>
      <c r="M48" s="162"/>
      <c r="N48" s="162"/>
      <c r="O48" s="162"/>
      <c r="P48" s="162"/>
      <c r="Q48" s="162"/>
      <c r="R48" s="162"/>
      <c r="S48" s="162"/>
      <c r="T48" s="262"/>
      <c r="U48" s="279"/>
    </row>
    <row r="49" spans="2:23" ht="18.75" customHeight="1" x14ac:dyDescent="0.25">
      <c r="B49" s="159" t="s">
        <v>23</v>
      </c>
      <c r="C49" s="70">
        <v>3495</v>
      </c>
      <c r="D49" s="180">
        <f>+C49/C50*100</f>
        <v>51.066627703097602</v>
      </c>
      <c r="E49" s="70">
        <v>2579</v>
      </c>
      <c r="F49" s="180">
        <f>+E49/E50*100</f>
        <v>39.978297938304138</v>
      </c>
      <c r="G49" s="70">
        <v>1052</v>
      </c>
      <c r="H49" s="180">
        <f>+G49/G50*100</f>
        <v>17.371202113606341</v>
      </c>
      <c r="I49" s="70">
        <v>238</v>
      </c>
      <c r="J49" s="280">
        <f>+I49/I50*100</f>
        <v>4.0195912852558688</v>
      </c>
      <c r="K49" s="74">
        <v>65</v>
      </c>
      <c r="L49" s="180">
        <f>+K49/K50*100</f>
        <v>1.0906040268456376</v>
      </c>
      <c r="M49" s="180">
        <v>4.092113982770047</v>
      </c>
      <c r="N49" s="180">
        <v>16.68639053254438</v>
      </c>
      <c r="O49" s="180">
        <v>6.4510519909580939</v>
      </c>
      <c r="P49" s="161">
        <v>14.647514647514647</v>
      </c>
      <c r="Q49" s="161">
        <v>100</v>
      </c>
      <c r="R49" s="161">
        <v>15.699846678277437</v>
      </c>
      <c r="S49" s="161">
        <v>12.43</v>
      </c>
      <c r="T49" s="261" t="s">
        <v>145</v>
      </c>
      <c r="U49" s="278" t="s">
        <v>164</v>
      </c>
      <c r="V49" s="64"/>
    </row>
    <row r="50" spans="2:23" ht="18.75" customHeight="1" x14ac:dyDescent="0.25">
      <c r="B50" s="160"/>
      <c r="C50" s="70">
        <v>6844</v>
      </c>
      <c r="D50" s="181"/>
      <c r="E50" s="70">
        <v>6451</v>
      </c>
      <c r="F50" s="181"/>
      <c r="G50" s="70">
        <v>6056</v>
      </c>
      <c r="H50" s="181"/>
      <c r="I50" s="70">
        <v>5921</v>
      </c>
      <c r="J50" s="281"/>
      <c r="K50" s="74">
        <v>5960</v>
      </c>
      <c r="L50" s="181"/>
      <c r="M50" s="181"/>
      <c r="N50" s="181"/>
      <c r="O50" s="181"/>
      <c r="P50" s="162"/>
      <c r="Q50" s="162"/>
      <c r="R50" s="162"/>
      <c r="S50" s="162"/>
      <c r="T50" s="262"/>
      <c r="U50" s="279"/>
      <c r="V50" s="64"/>
    </row>
    <row r="51" spans="2:23" ht="18.75" customHeight="1" x14ac:dyDescent="0.25">
      <c r="B51" s="159" t="s">
        <v>24</v>
      </c>
      <c r="C51" s="70">
        <v>4676</v>
      </c>
      <c r="D51" s="180">
        <f>+C51/C52*100</f>
        <v>68.322618351841029</v>
      </c>
      <c r="E51" s="70">
        <v>3214</v>
      </c>
      <c r="F51" s="180">
        <f>+E51/E52*100</f>
        <v>49.821733064641137</v>
      </c>
      <c r="G51" s="70">
        <v>1692</v>
      </c>
      <c r="H51" s="180">
        <f>+G51/G52*100</f>
        <v>27.939233817701453</v>
      </c>
      <c r="I51" s="70">
        <v>238</v>
      </c>
      <c r="J51" s="280">
        <f>+I51/I52*100</f>
        <v>4.0195912852558688</v>
      </c>
      <c r="K51" s="74">
        <v>65</v>
      </c>
      <c r="L51" s="180">
        <f>+K51/K52*100</f>
        <v>1.0906040268456376</v>
      </c>
      <c r="M51" s="180">
        <v>4.092113982770047</v>
      </c>
      <c r="N51" s="180">
        <v>16.68639053254438</v>
      </c>
      <c r="O51" s="180">
        <v>6.4510519909580939</v>
      </c>
      <c r="P51" s="161">
        <v>100</v>
      </c>
      <c r="Q51" s="161">
        <v>100</v>
      </c>
      <c r="R51" s="161">
        <v>20.2760948850107</v>
      </c>
      <c r="S51" s="161">
        <v>13.1</v>
      </c>
      <c r="T51" s="261" t="s">
        <v>145</v>
      </c>
      <c r="U51" s="278" t="s">
        <v>165</v>
      </c>
      <c r="V51" s="64"/>
    </row>
    <row r="52" spans="2:23" ht="18.75" customHeight="1" x14ac:dyDescent="0.25">
      <c r="B52" s="160"/>
      <c r="C52" s="70">
        <v>6844</v>
      </c>
      <c r="D52" s="181"/>
      <c r="E52" s="70">
        <v>6451</v>
      </c>
      <c r="F52" s="181"/>
      <c r="G52" s="70">
        <v>6056</v>
      </c>
      <c r="H52" s="181"/>
      <c r="I52" s="70">
        <v>5921</v>
      </c>
      <c r="J52" s="281"/>
      <c r="K52" s="74">
        <v>5960</v>
      </c>
      <c r="L52" s="181"/>
      <c r="M52" s="181"/>
      <c r="N52" s="181"/>
      <c r="O52" s="181"/>
      <c r="P52" s="162"/>
      <c r="Q52" s="162"/>
      <c r="R52" s="162"/>
      <c r="S52" s="162"/>
      <c r="T52" s="262"/>
      <c r="U52" s="279"/>
      <c r="V52" s="64"/>
    </row>
    <row r="53" spans="2:23" ht="18.75" customHeight="1" x14ac:dyDescent="0.25">
      <c r="B53" s="159" t="s">
        <v>25</v>
      </c>
      <c r="C53" s="132">
        <v>765</v>
      </c>
      <c r="D53" s="180">
        <f>+C53/C54*100</f>
        <v>36.136041568256964</v>
      </c>
      <c r="E53" s="70">
        <v>670</v>
      </c>
      <c r="F53" s="180">
        <f>+E53/E54*100</f>
        <v>34.895833333333329</v>
      </c>
      <c r="G53" s="70">
        <v>785</v>
      </c>
      <c r="H53" s="180">
        <f>+G53/G54*100</f>
        <v>39.787126203750631</v>
      </c>
      <c r="I53" s="70">
        <v>491</v>
      </c>
      <c r="J53" s="180">
        <f>+I53/I54*100</f>
        <v>24.525474525474525</v>
      </c>
      <c r="K53" s="74">
        <v>337</v>
      </c>
      <c r="L53" s="180">
        <f>+K53/K54*100</f>
        <v>15.587419056429233</v>
      </c>
      <c r="M53" s="180">
        <v>15.285359801488834</v>
      </c>
      <c r="N53" s="296">
        <v>0.211489578037621</v>
      </c>
      <c r="O53" s="296">
        <f>(187+388)/(1188+789)</f>
        <v>0.2908447142134547</v>
      </c>
      <c r="P53" s="296">
        <f>(264+391)/(1104+544)</f>
        <v>0.39745145631067963</v>
      </c>
      <c r="Q53" s="296">
        <f>(202+161)/(961+373)</f>
        <v>0.27211394302848574</v>
      </c>
      <c r="R53" s="161">
        <v>38.721296713192253</v>
      </c>
      <c r="S53" s="161">
        <v>50.22</v>
      </c>
      <c r="T53" s="261" t="s">
        <v>47</v>
      </c>
      <c r="U53" s="290" t="s">
        <v>166</v>
      </c>
    </row>
    <row r="54" spans="2:23" ht="18.75" customHeight="1" x14ac:dyDescent="0.25">
      <c r="B54" s="160"/>
      <c r="C54" s="132">
        <v>2117</v>
      </c>
      <c r="D54" s="181"/>
      <c r="E54" s="70">
        <v>1920</v>
      </c>
      <c r="F54" s="181"/>
      <c r="G54" s="70">
        <v>1973</v>
      </c>
      <c r="H54" s="181"/>
      <c r="I54" s="70">
        <v>2002</v>
      </c>
      <c r="J54" s="181"/>
      <c r="K54" s="74">
        <v>2162</v>
      </c>
      <c r="L54" s="181"/>
      <c r="M54" s="181"/>
      <c r="N54" s="297"/>
      <c r="O54" s="297"/>
      <c r="P54" s="297"/>
      <c r="Q54" s="297"/>
      <c r="R54" s="162"/>
      <c r="S54" s="162"/>
      <c r="T54" s="262"/>
      <c r="U54" s="291"/>
    </row>
    <row r="55" spans="2:23" ht="18.75" customHeight="1" x14ac:dyDescent="0.25">
      <c r="B55" s="159" t="s">
        <v>26</v>
      </c>
      <c r="C55" s="132">
        <v>455</v>
      </c>
      <c r="D55" s="161">
        <f>SUM(C55)/C56*100</f>
        <v>94.008264462809919</v>
      </c>
      <c r="E55" s="70">
        <v>256</v>
      </c>
      <c r="F55" s="161">
        <f>SUM(E55)/E56*100</f>
        <v>64.974619289340097</v>
      </c>
      <c r="G55" s="70">
        <v>118</v>
      </c>
      <c r="H55" s="161">
        <f>SUM(G55)/G56*100</f>
        <v>30.256410256410255</v>
      </c>
      <c r="I55" s="70">
        <v>67</v>
      </c>
      <c r="J55" s="261">
        <f>SUM(I55)/I56*100</f>
        <v>100</v>
      </c>
      <c r="K55" s="74">
        <v>39</v>
      </c>
      <c r="L55" s="161">
        <f>SUM(K55)/K56*100</f>
        <v>100</v>
      </c>
      <c r="M55" s="161">
        <v>100</v>
      </c>
      <c r="N55" s="161">
        <v>92</v>
      </c>
      <c r="O55" s="161">
        <v>100</v>
      </c>
      <c r="P55" s="161">
        <v>100</v>
      </c>
      <c r="Q55" s="161">
        <v>100</v>
      </c>
      <c r="R55" s="161">
        <v>91.881918819188186</v>
      </c>
      <c r="S55" s="161">
        <v>86.27</v>
      </c>
      <c r="T55" s="261" t="s">
        <v>48</v>
      </c>
      <c r="U55" s="278" t="s">
        <v>167</v>
      </c>
    </row>
    <row r="56" spans="2:23" ht="18.75" customHeight="1" x14ac:dyDescent="0.25">
      <c r="B56" s="160"/>
      <c r="C56" s="132">
        <v>484</v>
      </c>
      <c r="D56" s="162"/>
      <c r="E56" s="70">
        <v>394</v>
      </c>
      <c r="F56" s="162"/>
      <c r="G56" s="70">
        <v>390</v>
      </c>
      <c r="H56" s="162"/>
      <c r="I56" s="70">
        <v>67</v>
      </c>
      <c r="J56" s="262"/>
      <c r="K56" s="74">
        <v>39</v>
      </c>
      <c r="L56" s="162"/>
      <c r="M56" s="162"/>
      <c r="N56" s="162"/>
      <c r="O56" s="162"/>
      <c r="P56" s="162"/>
      <c r="Q56" s="162"/>
      <c r="R56" s="162"/>
      <c r="S56" s="162"/>
      <c r="T56" s="262"/>
      <c r="U56" s="279"/>
    </row>
    <row r="57" spans="2:23" ht="54" customHeight="1" x14ac:dyDescent="0.25">
      <c r="B57" s="50" t="s">
        <v>27</v>
      </c>
      <c r="C57" s="50" t="s">
        <v>2</v>
      </c>
      <c r="D57" s="50" t="s">
        <v>3</v>
      </c>
      <c r="E57" s="50" t="s">
        <v>2</v>
      </c>
      <c r="F57" s="50" t="s">
        <v>3</v>
      </c>
      <c r="G57" s="50" t="s">
        <v>2</v>
      </c>
      <c r="H57" s="50" t="s">
        <v>3</v>
      </c>
      <c r="I57" s="50" t="s">
        <v>2</v>
      </c>
      <c r="J57" s="50" t="s">
        <v>3</v>
      </c>
      <c r="K57" s="50" t="s">
        <v>2</v>
      </c>
      <c r="L57" s="50" t="s">
        <v>3</v>
      </c>
      <c r="M57" s="50" t="s">
        <v>3</v>
      </c>
      <c r="N57" s="50" t="s">
        <v>3</v>
      </c>
      <c r="O57" s="50" t="s">
        <v>3</v>
      </c>
      <c r="P57" s="50" t="s">
        <v>3</v>
      </c>
      <c r="Q57" s="50" t="s">
        <v>3</v>
      </c>
      <c r="R57" s="50" t="s">
        <v>3</v>
      </c>
      <c r="S57" s="50" t="s">
        <v>3</v>
      </c>
      <c r="T57" s="51" t="s">
        <v>43</v>
      </c>
      <c r="U57" s="62" t="s">
        <v>152</v>
      </c>
      <c r="W57" s="127" t="s">
        <v>188</v>
      </c>
    </row>
    <row r="58" spans="2:23" ht="18.75" customHeight="1" x14ac:dyDescent="0.25">
      <c r="B58" s="159" t="s">
        <v>28</v>
      </c>
      <c r="C58" s="132">
        <v>2393</v>
      </c>
      <c r="D58" s="293">
        <f>+C58/C59*100</f>
        <v>34.964932787843367</v>
      </c>
      <c r="E58" s="71">
        <v>441</v>
      </c>
      <c r="F58" s="293">
        <f>+E58/E59*100</f>
        <v>6.8361494341962477</v>
      </c>
      <c r="G58" s="71">
        <v>476</v>
      </c>
      <c r="H58" s="293">
        <f>+G58/G59*100</f>
        <v>7.85997357992074</v>
      </c>
      <c r="I58" s="71">
        <v>207</v>
      </c>
      <c r="J58" s="286">
        <f>+I58/I59*100</f>
        <v>3.918970087088224</v>
      </c>
      <c r="K58" s="96">
        <v>161</v>
      </c>
      <c r="L58" s="293">
        <f>+K58/K59*100</f>
        <v>2.7013422818791946</v>
      </c>
      <c r="M58" s="180">
        <v>14.34724983432737</v>
      </c>
      <c r="N58" s="180">
        <v>15.95942519019442</v>
      </c>
      <c r="O58" s="180">
        <v>100</v>
      </c>
      <c r="P58" s="180">
        <v>100</v>
      </c>
      <c r="Q58" s="161">
        <v>2.5471698113207548</v>
      </c>
      <c r="R58" s="161">
        <v>15.719197963649354</v>
      </c>
      <c r="S58" s="161">
        <v>4.79</v>
      </c>
      <c r="T58" s="261" t="s">
        <v>49</v>
      </c>
      <c r="U58" s="278" t="s">
        <v>183</v>
      </c>
    </row>
    <row r="59" spans="2:23" ht="18.75" customHeight="1" x14ac:dyDescent="0.25">
      <c r="B59" s="160"/>
      <c r="C59" s="132">
        <v>6844</v>
      </c>
      <c r="D59" s="310"/>
      <c r="E59" s="72">
        <v>6451</v>
      </c>
      <c r="F59" s="177"/>
      <c r="G59" s="72">
        <v>6056</v>
      </c>
      <c r="H59" s="177"/>
      <c r="I59" s="72">
        <v>5282</v>
      </c>
      <c r="J59" s="287"/>
      <c r="K59" s="97">
        <v>5960</v>
      </c>
      <c r="L59" s="177"/>
      <c r="M59" s="181"/>
      <c r="N59" s="181"/>
      <c r="O59" s="181"/>
      <c r="P59" s="181"/>
      <c r="Q59" s="162"/>
      <c r="R59" s="162"/>
      <c r="S59" s="162"/>
      <c r="T59" s="262"/>
      <c r="U59" s="279"/>
    </row>
    <row r="60" spans="2:23" ht="18.75" customHeight="1" x14ac:dyDescent="0.25">
      <c r="B60" s="159" t="s">
        <v>29</v>
      </c>
      <c r="C60" s="132">
        <v>92</v>
      </c>
      <c r="D60" s="293">
        <f>+C60/C61*100</f>
        <v>85.18518518518519</v>
      </c>
      <c r="E60" s="72">
        <v>73</v>
      </c>
      <c r="F60" s="293">
        <f>+E60/E61*100</f>
        <v>66.363636363636374</v>
      </c>
      <c r="G60" s="72">
        <v>60</v>
      </c>
      <c r="H60" s="293">
        <f>+G60/G61*100</f>
        <v>54.054054054054056</v>
      </c>
      <c r="I60" s="72">
        <v>68</v>
      </c>
      <c r="J60" s="286">
        <f>+I60/I61*100</f>
        <v>76.404494382022463</v>
      </c>
      <c r="K60" s="97">
        <v>49</v>
      </c>
      <c r="L60" s="293">
        <f>+K60/K61*100</f>
        <v>65.333333333333329</v>
      </c>
      <c r="M60" s="180">
        <v>49.350649350649348</v>
      </c>
      <c r="N60" s="180">
        <v>100</v>
      </c>
      <c r="O60" s="180">
        <v>100</v>
      </c>
      <c r="P60" s="180">
        <v>67.924528301886795</v>
      </c>
      <c r="Q60" s="161">
        <v>22.485207100591715</v>
      </c>
      <c r="R60" s="161">
        <v>31.959219858156029</v>
      </c>
      <c r="S60" s="161">
        <v>19.7</v>
      </c>
      <c r="T60" s="261" t="s">
        <v>49</v>
      </c>
      <c r="U60" s="278" t="s">
        <v>184</v>
      </c>
    </row>
    <row r="61" spans="2:23" ht="18.75" customHeight="1" x14ac:dyDescent="0.25">
      <c r="B61" s="160"/>
      <c r="C61" s="132">
        <v>108</v>
      </c>
      <c r="D61" s="310"/>
      <c r="E61" s="72">
        <v>110</v>
      </c>
      <c r="F61" s="177"/>
      <c r="G61" s="72">
        <v>111</v>
      </c>
      <c r="H61" s="177"/>
      <c r="I61" s="72">
        <v>89</v>
      </c>
      <c r="J61" s="287"/>
      <c r="K61" s="97">
        <v>75</v>
      </c>
      <c r="L61" s="177"/>
      <c r="M61" s="181"/>
      <c r="N61" s="181"/>
      <c r="O61" s="181"/>
      <c r="P61" s="181"/>
      <c r="Q61" s="162"/>
      <c r="R61" s="162"/>
      <c r="S61" s="162"/>
      <c r="T61" s="262"/>
      <c r="U61" s="279"/>
    </row>
    <row r="62" spans="2:23" ht="18.75" customHeight="1" x14ac:dyDescent="0.25">
      <c r="B62" s="159" t="s">
        <v>30</v>
      </c>
      <c r="C62" s="132">
        <v>15</v>
      </c>
      <c r="D62" s="293">
        <f>+C62/C63*100</f>
        <v>13.888888888888889</v>
      </c>
      <c r="E62" s="72">
        <v>16</v>
      </c>
      <c r="F62" s="293">
        <f>+E62/E63*100</f>
        <v>14.545454545454545</v>
      </c>
      <c r="G62" s="72">
        <v>9</v>
      </c>
      <c r="H62" s="293">
        <f>+G62/G63*100</f>
        <v>8.1081081081081088</v>
      </c>
      <c r="I62" s="72">
        <v>4</v>
      </c>
      <c r="J62" s="286">
        <f>+I62/I63*100</f>
        <v>4.4943820224719104</v>
      </c>
      <c r="K62" s="97">
        <v>2</v>
      </c>
      <c r="L62" s="293">
        <f>+K62/K63*100</f>
        <v>2.666666666666667</v>
      </c>
      <c r="M62" s="180">
        <v>3.8961038961038961</v>
      </c>
      <c r="N62" s="180">
        <v>3.79746835443038</v>
      </c>
      <c r="O62" s="180">
        <v>0</v>
      </c>
      <c r="P62" s="180">
        <v>14.285714285714285</v>
      </c>
      <c r="Q62" s="161">
        <v>0</v>
      </c>
      <c r="R62" s="161">
        <v>4.674457429048414</v>
      </c>
      <c r="S62" s="161">
        <v>8.24</v>
      </c>
      <c r="T62" s="261" t="s">
        <v>49</v>
      </c>
      <c r="U62" s="278" t="s">
        <v>174</v>
      </c>
    </row>
    <row r="63" spans="2:23" ht="18.75" customHeight="1" x14ac:dyDescent="0.25">
      <c r="B63" s="160"/>
      <c r="C63" s="132">
        <v>108</v>
      </c>
      <c r="D63" s="310"/>
      <c r="E63" s="72">
        <v>110</v>
      </c>
      <c r="F63" s="177"/>
      <c r="G63" s="72">
        <v>111</v>
      </c>
      <c r="H63" s="177"/>
      <c r="I63" s="72">
        <v>89</v>
      </c>
      <c r="J63" s="287"/>
      <c r="K63" s="97">
        <v>75</v>
      </c>
      <c r="L63" s="177"/>
      <c r="M63" s="181"/>
      <c r="N63" s="181"/>
      <c r="O63" s="181"/>
      <c r="P63" s="181"/>
      <c r="Q63" s="162"/>
      <c r="R63" s="162"/>
      <c r="S63" s="162"/>
      <c r="T63" s="262"/>
      <c r="U63" s="279"/>
    </row>
    <row r="64" spans="2:23" ht="18.75" customHeight="1" x14ac:dyDescent="0.25">
      <c r="B64" s="159" t="s">
        <v>31</v>
      </c>
      <c r="C64" s="132">
        <v>7451111.8300000001</v>
      </c>
      <c r="D64" s="293">
        <f>+C64/C65*100</f>
        <v>5.9674821473169271</v>
      </c>
      <c r="E64" s="72">
        <v>7405648.9400000004</v>
      </c>
      <c r="F64" s="293">
        <f>+E64/E65*100</f>
        <v>4.114982094417698</v>
      </c>
      <c r="G64" s="72">
        <v>7405648.9400000004</v>
      </c>
      <c r="H64" s="293">
        <f>+G64/G65*100</f>
        <v>4.6206936092763575</v>
      </c>
      <c r="I64" s="72">
        <v>209159.6</v>
      </c>
      <c r="J64" s="286">
        <f>+I64/I65*100</f>
        <v>0.44583729022767304</v>
      </c>
      <c r="K64" s="98">
        <v>85091.29</v>
      </c>
      <c r="L64" s="293">
        <f>+K64/K65*100</f>
        <v>8.1925459225723044E-2</v>
      </c>
      <c r="M64" s="180">
        <v>0.99370060633548696</v>
      </c>
      <c r="N64" s="180">
        <v>0.40562548730659881</v>
      </c>
      <c r="O64" s="180">
        <f>421300/107051548*100</f>
        <v>0.39354872290123261</v>
      </c>
      <c r="P64" s="180">
        <f>194000/96073146*100</f>
        <v>0.20192947569344719</v>
      </c>
      <c r="Q64" s="180">
        <f>194000/87500748.06*100</f>
        <v>0.22171239023804981</v>
      </c>
      <c r="R64" s="161">
        <v>2.8719141764943905</v>
      </c>
      <c r="S64" s="161">
        <v>3.52</v>
      </c>
      <c r="T64" s="65" t="s">
        <v>136</v>
      </c>
      <c r="U64" s="292" t="s">
        <v>154</v>
      </c>
    </row>
    <row r="65" spans="2:23" ht="18.75" customHeight="1" x14ac:dyDescent="0.25">
      <c r="B65" s="160"/>
      <c r="C65" s="132">
        <v>124861904</v>
      </c>
      <c r="D65" s="310"/>
      <c r="E65" s="72">
        <v>179967950.53</v>
      </c>
      <c r="F65" s="177"/>
      <c r="G65" s="72">
        <v>160271369.75999999</v>
      </c>
      <c r="H65" s="177"/>
      <c r="I65" s="72">
        <v>46913886.43</v>
      </c>
      <c r="J65" s="287"/>
      <c r="K65" s="99">
        <v>103864282</v>
      </c>
      <c r="L65" s="177"/>
      <c r="M65" s="181"/>
      <c r="N65" s="181"/>
      <c r="O65" s="181"/>
      <c r="P65" s="181"/>
      <c r="Q65" s="181"/>
      <c r="R65" s="162"/>
      <c r="S65" s="162"/>
      <c r="T65" s="136" t="s">
        <v>53</v>
      </c>
      <c r="U65" s="289"/>
    </row>
    <row r="66" spans="2:23" ht="52.2" customHeight="1" x14ac:dyDescent="0.25">
      <c r="B66" s="50" t="s">
        <v>32</v>
      </c>
      <c r="C66" s="50" t="s">
        <v>2</v>
      </c>
      <c r="D66" s="50" t="s">
        <v>3</v>
      </c>
      <c r="E66" s="50" t="s">
        <v>2</v>
      </c>
      <c r="F66" s="50" t="s">
        <v>3</v>
      </c>
      <c r="G66" s="50" t="s">
        <v>2</v>
      </c>
      <c r="H66" s="50" t="s">
        <v>3</v>
      </c>
      <c r="I66" s="50" t="s">
        <v>2</v>
      </c>
      <c r="J66" s="50" t="s">
        <v>3</v>
      </c>
      <c r="K66" s="50" t="s">
        <v>2</v>
      </c>
      <c r="L66" s="50" t="s">
        <v>3</v>
      </c>
      <c r="M66" s="50" t="s">
        <v>3</v>
      </c>
      <c r="N66" s="50" t="s">
        <v>3</v>
      </c>
      <c r="O66" s="50" t="s">
        <v>3</v>
      </c>
      <c r="P66" s="50" t="s">
        <v>3</v>
      </c>
      <c r="Q66" s="50" t="s">
        <v>3</v>
      </c>
      <c r="R66" s="50" t="s">
        <v>3</v>
      </c>
      <c r="S66" s="50" t="s">
        <v>3</v>
      </c>
      <c r="T66" s="51" t="s">
        <v>43</v>
      </c>
      <c r="U66" s="62" t="s">
        <v>152</v>
      </c>
      <c r="W66" s="127" t="s">
        <v>188</v>
      </c>
    </row>
    <row r="67" spans="2:23" ht="18.600000000000001" hidden="1" customHeight="1" x14ac:dyDescent="0.25">
      <c r="B67" s="159" t="s">
        <v>33</v>
      </c>
      <c r="C67" s="132">
        <v>2332</v>
      </c>
      <c r="D67" s="180">
        <f>+C67/C68*100</f>
        <v>34.043795620437955</v>
      </c>
      <c r="E67" s="70">
        <v>2412</v>
      </c>
      <c r="F67" s="180">
        <f>+E67/E68*100</f>
        <v>35.335481980662173</v>
      </c>
      <c r="G67" s="70">
        <v>2301</v>
      </c>
      <c r="H67" s="180">
        <f>+G67/G68*100</f>
        <v>34.679728711379049</v>
      </c>
      <c r="I67" s="70">
        <v>1986</v>
      </c>
      <c r="J67" s="180">
        <f>+I67/I68*100</f>
        <v>13.725896744764668</v>
      </c>
      <c r="K67" s="74">
        <v>1793</v>
      </c>
      <c r="L67" s="180">
        <f>+K67/K68*100</f>
        <v>39.0376660134988</v>
      </c>
      <c r="M67" s="180">
        <v>45.177443936424993</v>
      </c>
      <c r="N67" s="180">
        <v>42.760722839102982</v>
      </c>
      <c r="O67" s="180">
        <v>42.891356411931199</v>
      </c>
      <c r="P67" s="180">
        <v>20.613456464379947</v>
      </c>
      <c r="Q67" s="161">
        <v>21.350043975373794</v>
      </c>
      <c r="R67" s="161">
        <v>20.821957177755422</v>
      </c>
      <c r="S67" s="161">
        <v>4.09</v>
      </c>
      <c r="T67" s="122" t="s">
        <v>138</v>
      </c>
      <c r="U67" s="278" t="s">
        <v>170</v>
      </c>
      <c r="V67" s="66"/>
    </row>
    <row r="68" spans="2:23" ht="18.75" hidden="1" customHeight="1" x14ac:dyDescent="0.25">
      <c r="B68" s="160"/>
      <c r="C68" s="132">
        <v>6850</v>
      </c>
      <c r="D68" s="181"/>
      <c r="E68" s="70">
        <v>6826</v>
      </c>
      <c r="F68" s="181"/>
      <c r="G68" s="70">
        <v>6635</v>
      </c>
      <c r="H68" s="181"/>
      <c r="I68" s="70">
        <v>14469</v>
      </c>
      <c r="J68" s="181"/>
      <c r="K68" s="74">
        <v>4593</v>
      </c>
      <c r="L68" s="181"/>
      <c r="M68" s="181"/>
      <c r="N68" s="181"/>
      <c r="O68" s="181"/>
      <c r="P68" s="181"/>
      <c r="Q68" s="162"/>
      <c r="R68" s="162"/>
      <c r="S68" s="162"/>
      <c r="T68" s="123" t="s">
        <v>135</v>
      </c>
      <c r="U68" s="279"/>
      <c r="V68" s="66"/>
    </row>
    <row r="69" spans="2:23" ht="18.75" customHeight="1" x14ac:dyDescent="0.25">
      <c r="B69" s="159" t="s">
        <v>34</v>
      </c>
      <c r="C69" s="132">
        <v>78</v>
      </c>
      <c r="D69" s="180">
        <f t="shared" ref="D69:F69" si="0">+C69/C70*100</f>
        <v>100</v>
      </c>
      <c r="E69" s="70">
        <v>72</v>
      </c>
      <c r="F69" s="180">
        <f t="shared" si="0"/>
        <v>100</v>
      </c>
      <c r="G69" s="70">
        <v>72</v>
      </c>
      <c r="H69" s="180">
        <f t="shared" ref="H69" si="1">+G69/G70*100</f>
        <v>100</v>
      </c>
      <c r="I69" s="70">
        <v>80</v>
      </c>
      <c r="J69" s="280">
        <f t="shared" ref="J69" si="2">+I69/I70*100</f>
        <v>96.385542168674704</v>
      </c>
      <c r="K69" s="74">
        <v>258</v>
      </c>
      <c r="L69" s="180">
        <f t="shared" ref="L69" si="3">+K69/K70*100</f>
        <v>322.5</v>
      </c>
      <c r="M69" s="180">
        <v>100</v>
      </c>
      <c r="N69" s="180">
        <v>100</v>
      </c>
      <c r="O69" s="180">
        <v>100</v>
      </c>
      <c r="P69" s="180">
        <v>100</v>
      </c>
      <c r="Q69" s="161">
        <v>143.8095238095238</v>
      </c>
      <c r="R69" s="161">
        <v>100</v>
      </c>
      <c r="S69" s="161">
        <v>95.35</v>
      </c>
      <c r="T69" s="309" t="s">
        <v>136</v>
      </c>
      <c r="U69" s="290" t="s">
        <v>169</v>
      </c>
      <c r="V69" s="66"/>
      <c r="W69" s="67"/>
    </row>
    <row r="70" spans="2:23" ht="18.75" customHeight="1" x14ac:dyDescent="0.25">
      <c r="B70" s="160"/>
      <c r="C70" s="132">
        <v>78</v>
      </c>
      <c r="D70" s="181"/>
      <c r="E70" s="70">
        <v>72</v>
      </c>
      <c r="F70" s="181"/>
      <c r="G70" s="70">
        <v>72</v>
      </c>
      <c r="H70" s="181"/>
      <c r="I70" s="70">
        <v>83</v>
      </c>
      <c r="J70" s="281"/>
      <c r="K70" s="74">
        <v>80</v>
      </c>
      <c r="L70" s="181"/>
      <c r="M70" s="181"/>
      <c r="N70" s="181"/>
      <c r="O70" s="181"/>
      <c r="P70" s="181"/>
      <c r="Q70" s="162"/>
      <c r="R70" s="162"/>
      <c r="S70" s="162"/>
      <c r="T70" s="123" t="s">
        <v>50</v>
      </c>
      <c r="U70" s="291"/>
      <c r="V70" s="66"/>
    </row>
    <row r="71" spans="2:23" ht="18.75" customHeight="1" x14ac:dyDescent="0.25">
      <c r="B71" s="159" t="s">
        <v>35</v>
      </c>
      <c r="C71" s="132">
        <v>10868</v>
      </c>
      <c r="D71" s="180">
        <f>+C71/C72</f>
        <v>1.5879602571595559</v>
      </c>
      <c r="E71" s="70">
        <v>10820</v>
      </c>
      <c r="F71" s="180">
        <f>+E71/E72</f>
        <v>1.6772593396372655</v>
      </c>
      <c r="G71" s="70">
        <v>10710</v>
      </c>
      <c r="H71" s="180">
        <f>+G71/G72</f>
        <v>1.7684940554821664</v>
      </c>
      <c r="I71" s="70">
        <v>10638</v>
      </c>
      <c r="J71" s="280">
        <f>+I71/I72</f>
        <v>1.7966559702752913</v>
      </c>
      <c r="K71" s="74">
        <v>9277</v>
      </c>
      <c r="L71" s="180">
        <f>+K71/K72</f>
        <v>1.5565436241610737</v>
      </c>
      <c r="M71" s="180">
        <v>1.5260106030483764</v>
      </c>
      <c r="N71" s="180">
        <v>1.4540997464074388</v>
      </c>
      <c r="O71" s="180">
        <v>1.4948704573117719</v>
      </c>
      <c r="P71" s="180">
        <v>1.5261765261765261</v>
      </c>
      <c r="Q71" s="161">
        <v>1.4647827017769215</v>
      </c>
      <c r="R71" s="300">
        <v>2</v>
      </c>
      <c r="S71" s="300">
        <v>4</v>
      </c>
      <c r="T71" s="301" t="s">
        <v>51</v>
      </c>
      <c r="U71" s="278" t="s">
        <v>171</v>
      </c>
      <c r="V71" s="66"/>
    </row>
    <row r="72" spans="2:23" ht="18.75" customHeight="1" x14ac:dyDescent="0.25">
      <c r="B72" s="160"/>
      <c r="C72" s="132">
        <v>6844</v>
      </c>
      <c r="D72" s="181"/>
      <c r="E72" s="70">
        <v>6451</v>
      </c>
      <c r="F72" s="181"/>
      <c r="G72" s="70">
        <v>6056</v>
      </c>
      <c r="H72" s="181"/>
      <c r="I72" s="70">
        <v>5921</v>
      </c>
      <c r="J72" s="281"/>
      <c r="K72" s="74">
        <v>5960</v>
      </c>
      <c r="L72" s="181"/>
      <c r="M72" s="181"/>
      <c r="N72" s="181"/>
      <c r="O72" s="181"/>
      <c r="P72" s="181"/>
      <c r="Q72" s="162"/>
      <c r="R72" s="300"/>
      <c r="S72" s="300"/>
      <c r="T72" s="262"/>
      <c r="U72" s="279"/>
    </row>
    <row r="73" spans="2:23" ht="18.75" customHeight="1" x14ac:dyDescent="0.25">
      <c r="B73" s="159" t="s">
        <v>36</v>
      </c>
      <c r="C73" s="132">
        <v>6844</v>
      </c>
      <c r="D73" s="166">
        <f>SUM(C73)/C74</f>
        <v>20.188790560471976</v>
      </c>
      <c r="E73" s="70">
        <v>6451</v>
      </c>
      <c r="F73" s="166">
        <f>SUM(E73)/E74</f>
        <v>19.029498525073745</v>
      </c>
      <c r="G73" s="70">
        <v>6056</v>
      </c>
      <c r="H73" s="166">
        <f>SUM(G73)/G74</f>
        <v>18.80745341614907</v>
      </c>
      <c r="I73" s="70">
        <v>5921</v>
      </c>
      <c r="J73" s="263">
        <f>SUM(I73)/I74</f>
        <v>18.27469135802469</v>
      </c>
      <c r="K73" s="74">
        <v>5960</v>
      </c>
      <c r="L73" s="166">
        <f>SUM(K73)/K74</f>
        <v>18.395061728395063</v>
      </c>
      <c r="M73" s="166">
        <v>18.62962962962963</v>
      </c>
      <c r="N73" s="166">
        <v>18.256172839506174</v>
      </c>
      <c r="O73" s="166">
        <v>17.75</v>
      </c>
      <c r="P73" s="298">
        <v>19.170289855072465</v>
      </c>
      <c r="Q73" s="166">
        <v>11.135593220338983</v>
      </c>
      <c r="R73" s="166">
        <v>11.515812994156068</v>
      </c>
      <c r="S73" s="166">
        <v>8</v>
      </c>
      <c r="T73" s="263" t="s">
        <v>52</v>
      </c>
      <c r="U73" s="278" t="s">
        <v>172</v>
      </c>
    </row>
    <row r="74" spans="2:23" ht="18.75" customHeight="1" x14ac:dyDescent="0.25">
      <c r="B74" s="160"/>
      <c r="C74" s="132">
        <v>339</v>
      </c>
      <c r="D74" s="167"/>
      <c r="E74" s="70">
        <v>339</v>
      </c>
      <c r="F74" s="167"/>
      <c r="G74" s="70">
        <v>322</v>
      </c>
      <c r="H74" s="167"/>
      <c r="I74" s="70">
        <v>324</v>
      </c>
      <c r="J74" s="264"/>
      <c r="K74" s="74">
        <v>324</v>
      </c>
      <c r="L74" s="167"/>
      <c r="M74" s="167"/>
      <c r="N74" s="167"/>
      <c r="O74" s="167"/>
      <c r="P74" s="299"/>
      <c r="Q74" s="167"/>
      <c r="R74" s="167"/>
      <c r="S74" s="167"/>
      <c r="T74" s="264"/>
      <c r="U74" s="279"/>
    </row>
    <row r="75" spans="2:23" ht="18.75" customHeight="1" x14ac:dyDescent="0.25">
      <c r="B75" s="159" t="s">
        <v>37</v>
      </c>
      <c r="C75" s="70">
        <v>6844</v>
      </c>
      <c r="D75" s="298">
        <f>+C75/C76</f>
        <v>51.458646616541351</v>
      </c>
      <c r="E75" s="70">
        <v>6451</v>
      </c>
      <c r="F75" s="298">
        <f>+E75/E76</f>
        <v>52.877049180327866</v>
      </c>
      <c r="G75" s="70">
        <v>6056</v>
      </c>
      <c r="H75" s="298">
        <f>+G75/G76</f>
        <v>54.071428571428569</v>
      </c>
      <c r="I75" s="70">
        <v>5921</v>
      </c>
      <c r="J75" s="302">
        <f>+I75/I76</f>
        <v>38.448051948051948</v>
      </c>
      <c r="K75" s="74">
        <v>5960</v>
      </c>
      <c r="L75" s="298">
        <f>+K75/K76</f>
        <v>37.484276729559745</v>
      </c>
      <c r="M75" s="298">
        <v>38.202531645569621</v>
      </c>
      <c r="N75" s="298">
        <v>33.230337078651687</v>
      </c>
      <c r="O75" s="298">
        <v>33.051724137931032</v>
      </c>
      <c r="P75" s="298">
        <v>32.660493827160494</v>
      </c>
      <c r="Q75" s="166">
        <v>33.847826086956523</v>
      </c>
      <c r="R75" s="166">
        <v>32.051049618320612</v>
      </c>
      <c r="S75" s="166">
        <v>23</v>
      </c>
      <c r="T75" s="261" t="s">
        <v>45</v>
      </c>
      <c r="U75" s="278" t="s">
        <v>173</v>
      </c>
      <c r="V75" s="68"/>
    </row>
    <row r="76" spans="2:23" ht="18.75" customHeight="1" x14ac:dyDescent="0.25">
      <c r="B76" s="160"/>
      <c r="C76" s="132">
        <v>133</v>
      </c>
      <c r="D76" s="299"/>
      <c r="E76" s="70">
        <v>122</v>
      </c>
      <c r="F76" s="299"/>
      <c r="G76" s="70">
        <v>112</v>
      </c>
      <c r="H76" s="299"/>
      <c r="I76" s="70">
        <v>154</v>
      </c>
      <c r="J76" s="303"/>
      <c r="K76" s="74">
        <v>159</v>
      </c>
      <c r="L76" s="299"/>
      <c r="M76" s="299"/>
      <c r="N76" s="299"/>
      <c r="O76" s="299"/>
      <c r="P76" s="299"/>
      <c r="Q76" s="167"/>
      <c r="R76" s="167"/>
      <c r="S76" s="167"/>
      <c r="T76" s="262"/>
      <c r="U76" s="279"/>
      <c r="V76" s="68"/>
    </row>
    <row r="77" spans="2:23" ht="18.75" customHeight="1" x14ac:dyDescent="0.25">
      <c r="B77" s="159" t="s">
        <v>38</v>
      </c>
      <c r="C77" s="70">
        <v>123</v>
      </c>
      <c r="D77" s="180">
        <f t="shared" ref="D77:F77" si="4">+C77/C78*100</f>
        <v>92.481203007518801</v>
      </c>
      <c r="E77" s="70">
        <v>101</v>
      </c>
      <c r="F77" s="180">
        <f t="shared" si="4"/>
        <v>82.786885245901644</v>
      </c>
      <c r="G77" s="70">
        <v>112</v>
      </c>
      <c r="H77" s="180">
        <f t="shared" ref="H77" si="5">+G77/G78*100</f>
        <v>100</v>
      </c>
      <c r="I77" s="70">
        <v>149</v>
      </c>
      <c r="J77" s="280">
        <f t="shared" ref="J77" si="6">+I77/I78*100</f>
        <v>96.753246753246756</v>
      </c>
      <c r="K77" s="74">
        <v>156</v>
      </c>
      <c r="L77" s="180">
        <f t="shared" ref="L77" si="7">+K77/K78*100</f>
        <v>98.113207547169807</v>
      </c>
      <c r="M77" s="180">
        <v>95.569620253164558</v>
      </c>
      <c r="N77" s="180">
        <v>96.629213483146074</v>
      </c>
      <c r="O77" s="180">
        <v>81.609195402298852</v>
      </c>
      <c r="P77" s="180">
        <v>100</v>
      </c>
      <c r="Q77" s="161">
        <v>89.130434782608688</v>
      </c>
      <c r="R77" s="161">
        <v>77.335888835649257</v>
      </c>
      <c r="S77" s="161">
        <v>82.8</v>
      </c>
      <c r="T77" s="261" t="s">
        <v>45</v>
      </c>
      <c r="U77" s="278" t="s">
        <v>168</v>
      </c>
      <c r="V77" s="68"/>
    </row>
    <row r="78" spans="2:23" ht="18.75" customHeight="1" x14ac:dyDescent="0.25">
      <c r="B78" s="160"/>
      <c r="C78" s="132">
        <v>133</v>
      </c>
      <c r="D78" s="181"/>
      <c r="E78" s="70">
        <v>122</v>
      </c>
      <c r="F78" s="181"/>
      <c r="G78" s="70">
        <v>112</v>
      </c>
      <c r="H78" s="181"/>
      <c r="I78" s="70">
        <v>154</v>
      </c>
      <c r="J78" s="281"/>
      <c r="K78" s="74">
        <v>159</v>
      </c>
      <c r="L78" s="181"/>
      <c r="M78" s="181"/>
      <c r="N78" s="181"/>
      <c r="O78" s="181"/>
      <c r="P78" s="181"/>
      <c r="Q78" s="162"/>
      <c r="R78" s="162"/>
      <c r="S78" s="162"/>
      <c r="T78" s="262"/>
      <c r="U78" s="279"/>
      <c r="V78" s="68"/>
    </row>
    <row r="79" spans="2:23" ht="18.75" customHeight="1" x14ac:dyDescent="0.25">
      <c r="B79" s="159" t="s">
        <v>39</v>
      </c>
      <c r="C79" s="132">
        <v>124861904</v>
      </c>
      <c r="D79" s="161">
        <f>SUM(C79)/C80/1000</f>
        <v>18.243995324371713</v>
      </c>
      <c r="E79" s="126">
        <v>179967951</v>
      </c>
      <c r="F79" s="161">
        <f>SUM(E79)/E80/1000</f>
        <v>38.702785161290322</v>
      </c>
      <c r="G79" s="73">
        <v>160271369.69999999</v>
      </c>
      <c r="H79" s="161">
        <f>SUM(G79)/G80/1000</f>
        <v>26.464889316380447</v>
      </c>
      <c r="I79" s="73">
        <v>111127032.84</v>
      </c>
      <c r="J79" s="261">
        <f>SUM(I79)/I80/1000</f>
        <v>18.768287931092718</v>
      </c>
      <c r="K79" s="100">
        <v>109307451.24000001</v>
      </c>
      <c r="L79" s="161">
        <f>SUM(K79)/K80/1000</f>
        <v>18.340176382550336</v>
      </c>
      <c r="M79" s="161">
        <v>17.520595758780647</v>
      </c>
      <c r="N79" s="161">
        <v>17.559472865595943</v>
      </c>
      <c r="O79" s="161">
        <v>20.301829698463873</v>
      </c>
      <c r="P79" s="180">
        <v>18.157842751842754</v>
      </c>
      <c r="Q79" s="161">
        <v>20.292292237762236</v>
      </c>
      <c r="R79" s="161">
        <v>22.068766690962956</v>
      </c>
      <c r="S79" s="161">
        <v>27.06</v>
      </c>
      <c r="T79" s="261" t="s">
        <v>53</v>
      </c>
      <c r="U79" s="288" t="s">
        <v>153</v>
      </c>
    </row>
    <row r="80" spans="2:23" ht="18.75" customHeight="1" x14ac:dyDescent="0.25">
      <c r="B80" s="160"/>
      <c r="C80" s="132">
        <v>6844</v>
      </c>
      <c r="D80" s="162"/>
      <c r="E80" s="70">
        <v>4650</v>
      </c>
      <c r="F80" s="162"/>
      <c r="G80" s="70">
        <v>6056</v>
      </c>
      <c r="H80" s="162"/>
      <c r="I80" s="70">
        <v>5921</v>
      </c>
      <c r="J80" s="262"/>
      <c r="K80" s="74">
        <v>5960</v>
      </c>
      <c r="L80" s="162"/>
      <c r="M80" s="162"/>
      <c r="N80" s="162"/>
      <c r="O80" s="162"/>
      <c r="P80" s="181"/>
      <c r="Q80" s="162"/>
      <c r="R80" s="162"/>
      <c r="S80" s="162"/>
      <c r="T80" s="262"/>
      <c r="U80" s="289"/>
    </row>
    <row r="81" spans="2:21" x14ac:dyDescent="0.25">
      <c r="B81" s="47"/>
      <c r="C81" s="134"/>
      <c r="D81" s="134"/>
      <c r="E81" s="47"/>
      <c r="F81" s="47"/>
      <c r="G81" s="47"/>
      <c r="H81" s="47"/>
      <c r="I81" s="47"/>
      <c r="J81" s="47"/>
      <c r="K81" s="47"/>
      <c r="L81" s="47"/>
      <c r="M81" s="47"/>
      <c r="N81" s="57"/>
      <c r="O81" s="57"/>
      <c r="P81" s="57"/>
      <c r="Q81" s="57"/>
      <c r="R81" s="57"/>
      <c r="S81" s="57"/>
      <c r="T81" s="57"/>
      <c r="U81" s="57"/>
    </row>
    <row r="82" spans="2:21" ht="72.75" customHeight="1" x14ac:dyDescent="0.5">
      <c r="B82" s="58" t="s">
        <v>61</v>
      </c>
      <c r="C82" s="135"/>
      <c r="D82" s="135"/>
    </row>
    <row r="83" spans="2:21" x14ac:dyDescent="0.25">
      <c r="B83" s="59" t="s">
        <v>60</v>
      </c>
      <c r="C83" s="59"/>
      <c r="D83" s="59"/>
      <c r="E83" s="59"/>
      <c r="F83" s="59"/>
      <c r="G83" s="165"/>
      <c r="H83" s="165"/>
      <c r="I83" s="165"/>
      <c r="J83" s="165"/>
      <c r="K83" s="165"/>
      <c r="L83" s="165"/>
      <c r="M83" s="165"/>
      <c r="N83" s="165"/>
      <c r="O83" s="165"/>
      <c r="P83" s="165"/>
      <c r="Q83" s="165"/>
      <c r="R83" s="165"/>
    </row>
  </sheetData>
  <mergeCells count="516">
    <mergeCell ref="S19:S20"/>
    <mergeCell ref="S67:S68"/>
    <mergeCell ref="S69:S70"/>
    <mergeCell ref="S71:S72"/>
    <mergeCell ref="S73:S74"/>
    <mergeCell ref="S75:S76"/>
    <mergeCell ref="S77:S78"/>
    <mergeCell ref="S79:S80"/>
    <mergeCell ref="B6:S6"/>
    <mergeCell ref="S64:S65"/>
    <mergeCell ref="S21:S22"/>
    <mergeCell ref="S23:S24"/>
    <mergeCell ref="S30:S31"/>
    <mergeCell ref="G7:H7"/>
    <mergeCell ref="I7:J7"/>
    <mergeCell ref="K7:L7"/>
    <mergeCell ref="P13:P14"/>
    <mergeCell ref="O17:O18"/>
    <mergeCell ref="N17:N18"/>
    <mergeCell ref="M15:M16"/>
    <mergeCell ref="F17:F18"/>
    <mergeCell ref="F19:F20"/>
    <mergeCell ref="F21:F22"/>
    <mergeCell ref="F23:F24"/>
    <mergeCell ref="B5:S5"/>
    <mergeCell ref="S51:S52"/>
    <mergeCell ref="S53:S54"/>
    <mergeCell ref="S55:S56"/>
    <mergeCell ref="S25:S26"/>
    <mergeCell ref="S27:S28"/>
    <mergeCell ref="S32:S33"/>
    <mergeCell ref="S34:S35"/>
    <mergeCell ref="S36:S37"/>
    <mergeCell ref="S38:S39"/>
    <mergeCell ref="S40:S41"/>
    <mergeCell ref="S43:S44"/>
    <mergeCell ref="S45:S46"/>
    <mergeCell ref="S47:S48"/>
    <mergeCell ref="S49:S50"/>
    <mergeCell ref="S9:S10"/>
    <mergeCell ref="S11:S12"/>
    <mergeCell ref="S13:S14"/>
    <mergeCell ref="S15:S16"/>
    <mergeCell ref="S17:S18"/>
    <mergeCell ref="F9:F10"/>
    <mergeCell ref="F11:F12"/>
    <mergeCell ref="F13:F14"/>
    <mergeCell ref="F15:F16"/>
    <mergeCell ref="M21:M22"/>
    <mergeCell ref="H13:H14"/>
    <mergeCell ref="H17:H18"/>
    <mergeCell ref="H19:H20"/>
    <mergeCell ref="M17:M18"/>
    <mergeCell ref="M19:M20"/>
    <mergeCell ref="F71:F72"/>
    <mergeCell ref="F73:F74"/>
    <mergeCell ref="F75:F76"/>
    <mergeCell ref="F27:F28"/>
    <mergeCell ref="F30:F31"/>
    <mergeCell ref="F32:F33"/>
    <mergeCell ref="F34:F35"/>
    <mergeCell ref="F36:F37"/>
    <mergeCell ref="F38:F39"/>
    <mergeCell ref="F40:F41"/>
    <mergeCell ref="F43:F44"/>
    <mergeCell ref="J73:J74"/>
    <mergeCell ref="J75:J76"/>
    <mergeCell ref="L45:L46"/>
    <mergeCell ref="M49:M50"/>
    <mergeCell ref="L47:L48"/>
    <mergeCell ref="L36:L37"/>
    <mergeCell ref="L38:L39"/>
    <mergeCell ref="J69:J70"/>
    <mergeCell ref="J71:J72"/>
    <mergeCell ref="F77:F78"/>
    <mergeCell ref="F79:F80"/>
    <mergeCell ref="F51:F52"/>
    <mergeCell ref="F53:F54"/>
    <mergeCell ref="F55:F56"/>
    <mergeCell ref="F58:F59"/>
    <mergeCell ref="F60:F61"/>
    <mergeCell ref="F62:F63"/>
    <mergeCell ref="F64:F65"/>
    <mergeCell ref="F67:F68"/>
    <mergeCell ref="F69:F70"/>
    <mergeCell ref="H60:H61"/>
    <mergeCell ref="H62:H63"/>
    <mergeCell ref="J60:J61"/>
    <mergeCell ref="J62:J63"/>
    <mergeCell ref="H67:H68"/>
    <mergeCell ref="H64:H65"/>
    <mergeCell ref="N64:N65"/>
    <mergeCell ref="T79:T80"/>
    <mergeCell ref="T77:T78"/>
    <mergeCell ref="T51:T52"/>
    <mergeCell ref="T49:T50"/>
    <mergeCell ref="T47:T48"/>
    <mergeCell ref="T71:T72"/>
    <mergeCell ref="T62:T63"/>
    <mergeCell ref="T60:T61"/>
    <mergeCell ref="T55:T56"/>
    <mergeCell ref="T53:T54"/>
    <mergeCell ref="S58:S59"/>
    <mergeCell ref="S60:S61"/>
    <mergeCell ref="S62:S63"/>
    <mergeCell ref="O49:O50"/>
    <mergeCell ref="N47:N48"/>
    <mergeCell ref="N49:N50"/>
    <mergeCell ref="P58:P59"/>
    <mergeCell ref="Q58:Q59"/>
    <mergeCell ref="O58:O59"/>
    <mergeCell ref="N58:N59"/>
    <mergeCell ref="R58:R59"/>
    <mergeCell ref="R47:R48"/>
    <mergeCell ref="R60:R61"/>
    <mergeCell ref="P27:P28"/>
    <mergeCell ref="N75:N76"/>
    <mergeCell ref="M62:M63"/>
    <mergeCell ref="M60:M61"/>
    <mergeCell ref="R64:R65"/>
    <mergeCell ref="M51:M52"/>
    <mergeCell ref="L77:L78"/>
    <mergeCell ref="N73:N74"/>
    <mergeCell ref="Q73:Q74"/>
    <mergeCell ref="M71:M72"/>
    <mergeCell ref="P64:P65"/>
    <mergeCell ref="M64:M65"/>
    <mergeCell ref="R51:R52"/>
    <mergeCell ref="L67:L68"/>
    <mergeCell ref="L69:L70"/>
    <mergeCell ref="L71:L72"/>
    <mergeCell ref="L73:L74"/>
    <mergeCell ref="L75:L76"/>
    <mergeCell ref="L64:L65"/>
    <mergeCell ref="M73:M74"/>
    <mergeCell ref="M75:M76"/>
    <mergeCell ref="R75:R76"/>
    <mergeCell ref="L51:L52"/>
    <mergeCell ref="L49:L50"/>
    <mergeCell ref="T34:T35"/>
    <mergeCell ref="H34:H35"/>
    <mergeCell ref="J34:J35"/>
    <mergeCell ref="J36:J37"/>
    <mergeCell ref="P51:P52"/>
    <mergeCell ref="Q51:Q52"/>
    <mergeCell ref="O51:O52"/>
    <mergeCell ref="N51:N52"/>
    <mergeCell ref="Q36:Q37"/>
    <mergeCell ref="H51:H52"/>
    <mergeCell ref="H36:H37"/>
    <mergeCell ref="T45:T46"/>
    <mergeCell ref="T43:T44"/>
    <mergeCell ref="T40:T41"/>
    <mergeCell ref="R49:R50"/>
    <mergeCell ref="H49:H50"/>
    <mergeCell ref="P49:P50"/>
    <mergeCell ref="Q49:Q50"/>
    <mergeCell ref="T38:T39"/>
    <mergeCell ref="T36:T37"/>
    <mergeCell ref="H38:H39"/>
    <mergeCell ref="H40:H41"/>
    <mergeCell ref="J38:J39"/>
    <mergeCell ref="L34:L35"/>
    <mergeCell ref="O36:O37"/>
    <mergeCell ref="N34:N35"/>
    <mergeCell ref="N36:N37"/>
    <mergeCell ref="R38:R39"/>
    <mergeCell ref="P38:P39"/>
    <mergeCell ref="P40:P41"/>
    <mergeCell ref="Q38:Q39"/>
    <mergeCell ref="Q40:Q41"/>
    <mergeCell ref="O38:O39"/>
    <mergeCell ref="O40:O41"/>
    <mergeCell ref="N38:N39"/>
    <mergeCell ref="N40:N41"/>
    <mergeCell ref="R40:R41"/>
    <mergeCell ref="P36:P37"/>
    <mergeCell ref="Q27:Q28"/>
    <mergeCell ref="R27:R28"/>
    <mergeCell ref="R34:R35"/>
    <mergeCell ref="P30:P31"/>
    <mergeCell ref="R30:R31"/>
    <mergeCell ref="A25:A26"/>
    <mergeCell ref="B25:B26"/>
    <mergeCell ref="H25:H26"/>
    <mergeCell ref="N25:N26"/>
    <mergeCell ref="M25:M26"/>
    <mergeCell ref="L25:L26"/>
    <mergeCell ref="L27:L28"/>
    <mergeCell ref="Q30:Q31"/>
    <mergeCell ref="Q32:Q33"/>
    <mergeCell ref="Q34:Q35"/>
    <mergeCell ref="P34:P35"/>
    <mergeCell ref="R32:R33"/>
    <mergeCell ref="N27:N28"/>
    <mergeCell ref="O32:O33"/>
    <mergeCell ref="N32:N33"/>
    <mergeCell ref="N30:N31"/>
    <mergeCell ref="L30:L31"/>
    <mergeCell ref="L32:L33"/>
    <mergeCell ref="O34:O35"/>
    <mergeCell ref="P47:P48"/>
    <mergeCell ref="Q47:Q48"/>
    <mergeCell ref="O47:O48"/>
    <mergeCell ref="B43:B44"/>
    <mergeCell ref="R43:R44"/>
    <mergeCell ref="H43:H44"/>
    <mergeCell ref="H45:H46"/>
    <mergeCell ref="P43:P44"/>
    <mergeCell ref="P45:P46"/>
    <mergeCell ref="Q43:Q44"/>
    <mergeCell ref="Q45:Q46"/>
    <mergeCell ref="O43:O44"/>
    <mergeCell ref="O45:O46"/>
    <mergeCell ref="N43:N44"/>
    <mergeCell ref="N45:N46"/>
    <mergeCell ref="R45:R46"/>
    <mergeCell ref="J43:J44"/>
    <mergeCell ref="J45:J46"/>
    <mergeCell ref="F45:F46"/>
    <mergeCell ref="L43:L44"/>
    <mergeCell ref="J47:J48"/>
    <mergeCell ref="M43:M44"/>
    <mergeCell ref="M45:M46"/>
    <mergeCell ref="M47:M48"/>
    <mergeCell ref="R23:R24"/>
    <mergeCell ref="Q19:Q20"/>
    <mergeCell ref="R21:R22"/>
    <mergeCell ref="O25:O26"/>
    <mergeCell ref="P21:P22"/>
    <mergeCell ref="P23:P24"/>
    <mergeCell ref="Q21:Q22"/>
    <mergeCell ref="Q23:Q24"/>
    <mergeCell ref="N21:N22"/>
    <mergeCell ref="P19:P20"/>
    <mergeCell ref="T32:T33"/>
    <mergeCell ref="T30:T31"/>
    <mergeCell ref="R36:R37"/>
    <mergeCell ref="T11:T12"/>
    <mergeCell ref="R11:R12"/>
    <mergeCell ref="Q11:Q12"/>
    <mergeCell ref="P11:P12"/>
    <mergeCell ref="O11:O12"/>
    <mergeCell ref="N11:N12"/>
    <mergeCell ref="T15:T16"/>
    <mergeCell ref="R15:R16"/>
    <mergeCell ref="Q15:Q16"/>
    <mergeCell ref="P15:P16"/>
    <mergeCell ref="O15:O16"/>
    <mergeCell ref="N15:N16"/>
    <mergeCell ref="T19:T20"/>
    <mergeCell ref="O19:O20"/>
    <mergeCell ref="N19:N20"/>
    <mergeCell ref="T23:T24"/>
    <mergeCell ref="T21:T22"/>
    <mergeCell ref="P25:P26"/>
    <mergeCell ref="Q25:Q26"/>
    <mergeCell ref="R25:R26"/>
    <mergeCell ref="R19:R20"/>
    <mergeCell ref="T9:T10"/>
    <mergeCell ref="P17:P18"/>
    <mergeCell ref="Q13:Q14"/>
    <mergeCell ref="Q17:Q18"/>
    <mergeCell ref="T17:T18"/>
    <mergeCell ref="T75:T76"/>
    <mergeCell ref="T73:T74"/>
    <mergeCell ref="O73:O74"/>
    <mergeCell ref="Q71:Q72"/>
    <mergeCell ref="O71:O72"/>
    <mergeCell ref="P69:P70"/>
    <mergeCell ref="Q69:Q70"/>
    <mergeCell ref="P71:P72"/>
    <mergeCell ref="R62:R63"/>
    <mergeCell ref="O64:O65"/>
    <mergeCell ref="Q64:Q65"/>
    <mergeCell ref="O23:O24"/>
    <mergeCell ref="O21:O22"/>
    <mergeCell ref="T25:T26"/>
    <mergeCell ref="T27:T28"/>
    <mergeCell ref="R69:R70"/>
    <mergeCell ref="T58:T59"/>
    <mergeCell ref="T13:T14"/>
    <mergeCell ref="O13:O14"/>
    <mergeCell ref="G83:R83"/>
    <mergeCell ref="B79:B80"/>
    <mergeCell ref="R79:R80"/>
    <mergeCell ref="B77:B78"/>
    <mergeCell ref="R77:R78"/>
    <mergeCell ref="H77:H78"/>
    <mergeCell ref="H79:H80"/>
    <mergeCell ref="P77:P78"/>
    <mergeCell ref="P79:P80"/>
    <mergeCell ref="Q77:Q78"/>
    <mergeCell ref="Q79:Q80"/>
    <mergeCell ref="N77:N78"/>
    <mergeCell ref="N79:N80"/>
    <mergeCell ref="O77:O78"/>
    <mergeCell ref="O79:O80"/>
    <mergeCell ref="M77:M78"/>
    <mergeCell ref="M79:M80"/>
    <mergeCell ref="L79:L80"/>
    <mergeCell ref="J77:J78"/>
    <mergeCell ref="J79:J80"/>
    <mergeCell ref="B73:B74"/>
    <mergeCell ref="R73:R74"/>
    <mergeCell ref="H73:H74"/>
    <mergeCell ref="H75:H76"/>
    <mergeCell ref="P73:P74"/>
    <mergeCell ref="P75:P76"/>
    <mergeCell ref="M67:M68"/>
    <mergeCell ref="B75:B76"/>
    <mergeCell ref="M69:M70"/>
    <mergeCell ref="O69:O70"/>
    <mergeCell ref="N69:N70"/>
    <mergeCell ref="B69:B70"/>
    <mergeCell ref="R67:R68"/>
    <mergeCell ref="H69:H70"/>
    <mergeCell ref="P67:P68"/>
    <mergeCell ref="Q67:Q68"/>
    <mergeCell ref="O67:O68"/>
    <mergeCell ref="N67:N68"/>
    <mergeCell ref="B71:B72"/>
    <mergeCell ref="R71:R72"/>
    <mergeCell ref="H71:H72"/>
    <mergeCell ref="Q75:Q76"/>
    <mergeCell ref="O75:O76"/>
    <mergeCell ref="N71:N72"/>
    <mergeCell ref="P60:P61"/>
    <mergeCell ref="P62:P63"/>
    <mergeCell ref="Q60:Q61"/>
    <mergeCell ref="Q62:Q63"/>
    <mergeCell ref="O60:O61"/>
    <mergeCell ref="O62:O63"/>
    <mergeCell ref="N60:N61"/>
    <mergeCell ref="N62:N63"/>
    <mergeCell ref="L60:L61"/>
    <mergeCell ref="R17:R18"/>
    <mergeCell ref="B64:B65"/>
    <mergeCell ref="L62:L63"/>
    <mergeCell ref="L58:L59"/>
    <mergeCell ref="B53:B54"/>
    <mergeCell ref="R53:R54"/>
    <mergeCell ref="O55:O56"/>
    <mergeCell ref="N55:N56"/>
    <mergeCell ref="H55:H56"/>
    <mergeCell ref="B55:B56"/>
    <mergeCell ref="M58:M59"/>
    <mergeCell ref="M55:M56"/>
    <mergeCell ref="R55:R56"/>
    <mergeCell ref="Q55:Q56"/>
    <mergeCell ref="P55:P56"/>
    <mergeCell ref="B58:B59"/>
    <mergeCell ref="L53:L54"/>
    <mergeCell ref="L55:L56"/>
    <mergeCell ref="H53:H54"/>
    <mergeCell ref="P53:P54"/>
    <mergeCell ref="Q53:Q54"/>
    <mergeCell ref="O53:O54"/>
    <mergeCell ref="N53:N54"/>
    <mergeCell ref="M53:M54"/>
    <mergeCell ref="B9:B10"/>
    <mergeCell ref="R9:R10"/>
    <mergeCell ref="H9:H10"/>
    <mergeCell ref="P9:P10"/>
    <mergeCell ref="Q9:Q10"/>
    <mergeCell ref="B13:B14"/>
    <mergeCell ref="R13:R14"/>
    <mergeCell ref="O9:O10"/>
    <mergeCell ref="N9:N10"/>
    <mergeCell ref="L9:L10"/>
    <mergeCell ref="L11:L12"/>
    <mergeCell ref="L13:L14"/>
    <mergeCell ref="H11:H12"/>
    <mergeCell ref="B11:B12"/>
    <mergeCell ref="N13:N14"/>
    <mergeCell ref="M9:M10"/>
    <mergeCell ref="M11:M12"/>
    <mergeCell ref="M13:M14"/>
    <mergeCell ref="J9:J10"/>
    <mergeCell ref="J11:J12"/>
    <mergeCell ref="J13:J14"/>
    <mergeCell ref="D9:D10"/>
    <mergeCell ref="D11:D12"/>
    <mergeCell ref="D13:D14"/>
    <mergeCell ref="B27:B28"/>
    <mergeCell ref="L21:L22"/>
    <mergeCell ref="H27:H28"/>
    <mergeCell ref="B21:B22"/>
    <mergeCell ref="M27:M28"/>
    <mergeCell ref="O27:O28"/>
    <mergeCell ref="P32:P33"/>
    <mergeCell ref="H21:H22"/>
    <mergeCell ref="H23:H24"/>
    <mergeCell ref="H30:H31"/>
    <mergeCell ref="H32:H33"/>
    <mergeCell ref="B30:B31"/>
    <mergeCell ref="O30:O31"/>
    <mergeCell ref="J21:J22"/>
    <mergeCell ref="J23:J24"/>
    <mergeCell ref="J25:J26"/>
    <mergeCell ref="L23:L24"/>
    <mergeCell ref="M23:M24"/>
    <mergeCell ref="B23:B24"/>
    <mergeCell ref="J27:J28"/>
    <mergeCell ref="F25:F26"/>
    <mergeCell ref="J30:J31"/>
    <mergeCell ref="J32:J33"/>
    <mergeCell ref="N23:N24"/>
    <mergeCell ref="B19:B20"/>
    <mergeCell ref="L15:L16"/>
    <mergeCell ref="L17:L18"/>
    <mergeCell ref="L19:L20"/>
    <mergeCell ref="H15:H16"/>
    <mergeCell ref="B15:B16"/>
    <mergeCell ref="J15:J16"/>
    <mergeCell ref="J17:J18"/>
    <mergeCell ref="J19:J20"/>
    <mergeCell ref="B17:B18"/>
    <mergeCell ref="D15:D16"/>
    <mergeCell ref="D17:D18"/>
    <mergeCell ref="D19:D20"/>
    <mergeCell ref="B32:B33"/>
    <mergeCell ref="B38:B39"/>
    <mergeCell ref="F47:F48"/>
    <mergeCell ref="F49:F50"/>
    <mergeCell ref="H58:H59"/>
    <mergeCell ref="B60:B61"/>
    <mergeCell ref="B62:B63"/>
    <mergeCell ref="B47:B48"/>
    <mergeCell ref="D36:D37"/>
    <mergeCell ref="D38:D39"/>
    <mergeCell ref="D40:D41"/>
    <mergeCell ref="H47:H48"/>
    <mergeCell ref="B36:B37"/>
    <mergeCell ref="B40:B41"/>
    <mergeCell ref="B45:B46"/>
    <mergeCell ref="B49:B50"/>
    <mergeCell ref="B51:B52"/>
    <mergeCell ref="B34:B35"/>
    <mergeCell ref="U9:U10"/>
    <mergeCell ref="U11:U12"/>
    <mergeCell ref="U13:U14"/>
    <mergeCell ref="U15:U16"/>
    <mergeCell ref="U17:U18"/>
    <mergeCell ref="U19:U20"/>
    <mergeCell ref="U21:U22"/>
    <mergeCell ref="U23:U24"/>
    <mergeCell ref="U25:U26"/>
    <mergeCell ref="U27:U28"/>
    <mergeCell ref="U30:U31"/>
    <mergeCell ref="U32:U33"/>
    <mergeCell ref="U34:U35"/>
    <mergeCell ref="U36:U37"/>
    <mergeCell ref="U38:U39"/>
    <mergeCell ref="U40:U41"/>
    <mergeCell ref="U43:U44"/>
    <mergeCell ref="U45:U46"/>
    <mergeCell ref="U79:U80"/>
    <mergeCell ref="U69:U70"/>
    <mergeCell ref="U47:U48"/>
    <mergeCell ref="U49:U50"/>
    <mergeCell ref="U51:U52"/>
    <mergeCell ref="U53:U54"/>
    <mergeCell ref="U55:U56"/>
    <mergeCell ref="U58:U59"/>
    <mergeCell ref="U60:U61"/>
    <mergeCell ref="U62:U63"/>
    <mergeCell ref="U64:U65"/>
    <mergeCell ref="D30:D31"/>
    <mergeCell ref="D32:D33"/>
    <mergeCell ref="D34:D35"/>
    <mergeCell ref="B67:B68"/>
    <mergeCell ref="U67:U68"/>
    <mergeCell ref="U71:U72"/>
    <mergeCell ref="U73:U74"/>
    <mergeCell ref="U75:U76"/>
    <mergeCell ref="U77:U78"/>
    <mergeCell ref="J49:J50"/>
    <mergeCell ref="J40:J41"/>
    <mergeCell ref="L40:L41"/>
    <mergeCell ref="J51:J52"/>
    <mergeCell ref="J53:J54"/>
    <mergeCell ref="J55:J56"/>
    <mergeCell ref="J58:J59"/>
    <mergeCell ref="J64:J65"/>
    <mergeCell ref="J67:J68"/>
    <mergeCell ref="M30:M31"/>
    <mergeCell ref="M32:M33"/>
    <mergeCell ref="M34:M35"/>
    <mergeCell ref="M36:M37"/>
    <mergeCell ref="M38:M39"/>
    <mergeCell ref="M40:M41"/>
    <mergeCell ref="D21:D22"/>
    <mergeCell ref="D23:D24"/>
    <mergeCell ref="D27:D28"/>
    <mergeCell ref="D25:D26"/>
    <mergeCell ref="B7:D7"/>
    <mergeCell ref="E7:F7"/>
    <mergeCell ref="D79:D80"/>
    <mergeCell ref="D67:D68"/>
    <mergeCell ref="D69:D70"/>
    <mergeCell ref="D71:D72"/>
    <mergeCell ref="D73:D74"/>
    <mergeCell ref="D75:D76"/>
    <mergeCell ref="D77:D78"/>
    <mergeCell ref="D58:D59"/>
    <mergeCell ref="D60:D61"/>
    <mergeCell ref="D62:D63"/>
    <mergeCell ref="D64:D65"/>
    <mergeCell ref="D43:D44"/>
    <mergeCell ref="D45:D46"/>
    <mergeCell ref="D47:D48"/>
    <mergeCell ref="D49:D50"/>
    <mergeCell ref="D51:D52"/>
    <mergeCell ref="D53:D54"/>
    <mergeCell ref="D55:D56"/>
  </mergeCells>
  <printOptions horizontalCentered="1" verticalCentered="1"/>
  <pageMargins left="0.39370078740157483" right="0.39370078740157483" top="0.39370078740157483" bottom="0.39370078740157483" header="0.31496062992125984" footer="0.31496062992125984"/>
  <pageSetup scale="42" orientation="portrait" horizontalDpi="4294967295" verticalDpi="4294967295"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Views>
    <sheetView workbookViewId="0">
      <selection activeCell="C18" sqref="C18"/>
    </sheetView>
  </sheetViews>
  <sheetFormatPr baseColWidth="10" defaultRowHeight="13.2" x14ac:dyDescent="0.25"/>
  <cols>
    <col min="2" max="2" width="43.77734375" bestFit="1" customWidth="1"/>
  </cols>
  <sheetData>
    <row r="2" spans="2:2" x14ac:dyDescent="0.25">
      <c r="B2" s="43" t="s">
        <v>98</v>
      </c>
    </row>
    <row r="3" spans="2:2" x14ac:dyDescent="0.25">
      <c r="B3" s="44" t="s">
        <v>139</v>
      </c>
    </row>
    <row r="4" spans="2:2" x14ac:dyDescent="0.25">
      <c r="B4" s="45" t="s">
        <v>47</v>
      </c>
    </row>
    <row r="5" spans="2:2" x14ac:dyDescent="0.25">
      <c r="B5" s="45" t="s">
        <v>51</v>
      </c>
    </row>
    <row r="6" spans="2:2" x14ac:dyDescent="0.25">
      <c r="B6" s="45" t="s">
        <v>136</v>
      </c>
    </row>
    <row r="7" spans="2:2" x14ac:dyDescent="0.25">
      <c r="B7" s="45" t="s">
        <v>141</v>
      </c>
    </row>
    <row r="8" spans="2:2" x14ac:dyDescent="0.25">
      <c r="B8" s="45" t="s">
        <v>49</v>
      </c>
    </row>
    <row r="9" spans="2:2" x14ac:dyDescent="0.25">
      <c r="B9" s="45" t="s">
        <v>138</v>
      </c>
    </row>
    <row r="10" spans="2:2" x14ac:dyDescent="0.25">
      <c r="B10" s="45" t="s">
        <v>45</v>
      </c>
    </row>
    <row r="11" spans="2:2" x14ac:dyDescent="0.25">
      <c r="B11" s="45" t="s">
        <v>44</v>
      </c>
    </row>
    <row r="12" spans="2:2" x14ac:dyDescent="0.25">
      <c r="B12" s="45" t="s">
        <v>46</v>
      </c>
    </row>
    <row r="13" spans="2:2" x14ac:dyDescent="0.25">
      <c r="B13" s="45" t="s">
        <v>50</v>
      </c>
    </row>
    <row r="14" spans="2:2" x14ac:dyDescent="0.25">
      <c r="B14" s="45" t="s">
        <v>52</v>
      </c>
    </row>
    <row r="15" spans="2:2" x14ac:dyDescent="0.25">
      <c r="B15" s="45" t="s">
        <v>140</v>
      </c>
    </row>
    <row r="16" spans="2:2" x14ac:dyDescent="0.25">
      <c r="B16" s="45" t="s">
        <v>142</v>
      </c>
    </row>
    <row r="17" spans="2:2" x14ac:dyDescent="0.25">
      <c r="B17" s="44" t="s">
        <v>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F7" sqref="F7"/>
    </sheetView>
  </sheetViews>
  <sheetFormatPr baseColWidth="10" defaultRowHeight="14.4" x14ac:dyDescent="0.3"/>
  <cols>
    <col min="1" max="1" width="16.77734375" style="42" customWidth="1"/>
    <col min="2" max="2" width="12.109375" style="42" bestFit="1" customWidth="1"/>
    <col min="3" max="16384" width="11.5546875" style="42"/>
  </cols>
  <sheetData>
    <row r="1" spans="1:2" ht="26.4" customHeight="1" x14ac:dyDescent="0.3">
      <c r="A1" s="305" t="s">
        <v>137</v>
      </c>
      <c r="B1" s="307" t="s">
        <v>53</v>
      </c>
    </row>
    <row r="2" spans="1:2" x14ac:dyDescent="0.3">
      <c r="A2" s="306"/>
      <c r="B2" s="308"/>
    </row>
    <row r="4" spans="1:2" ht="14.4" customHeight="1" x14ac:dyDescent="0.3"/>
    <row r="6" spans="1:2" ht="14.4" customHeight="1" x14ac:dyDescent="0.3"/>
  </sheetData>
  <mergeCells count="2">
    <mergeCell ref="A1:A2"/>
    <mergeCell ref="B1: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00FF00"/>
    <pageSetUpPr fitToPage="1"/>
  </sheetPr>
  <dimension ref="A4:H83"/>
  <sheetViews>
    <sheetView topLeftCell="B2" zoomScaleNormal="100" zoomScaleSheetLayoutView="75" workbookViewId="0">
      <selection activeCell="B11" sqref="B11:B12"/>
    </sheetView>
  </sheetViews>
  <sheetFormatPr baseColWidth="10" defaultColWidth="11.5546875" defaultRowHeight="18" x14ac:dyDescent="0.25"/>
  <cols>
    <col min="1" max="1" width="2.88671875" style="49" customWidth="1"/>
    <col min="2" max="2" width="77.6640625" style="49" customWidth="1"/>
    <col min="3" max="3" width="15.6640625" style="49" customWidth="1"/>
    <col min="4" max="4" width="14.6640625" style="49" customWidth="1"/>
    <col min="5" max="5" width="3.6640625" style="48" customWidth="1"/>
    <col min="6" max="6" width="24.33203125" style="49" customWidth="1"/>
    <col min="7" max="7" width="2.44140625" style="49" customWidth="1"/>
    <col min="8" max="8" width="76.6640625" style="49" customWidth="1"/>
    <col min="9" max="16384" width="11.5546875" style="49"/>
  </cols>
  <sheetData>
    <row r="4" spans="2:6" ht="25.2" x14ac:dyDescent="0.25">
      <c r="B4" s="46"/>
      <c r="C4" s="47"/>
      <c r="D4" s="47"/>
      <c r="F4" s="47"/>
    </row>
    <row r="5" spans="2:6" ht="46.5" customHeight="1" x14ac:dyDescent="0.25">
      <c r="B5" s="154" t="s">
        <v>144</v>
      </c>
      <c r="C5" s="154"/>
      <c r="D5" s="154"/>
    </row>
    <row r="6" spans="2:6" ht="25.2" x14ac:dyDescent="0.25">
      <c r="B6" s="155" t="s">
        <v>0</v>
      </c>
      <c r="C6" s="156"/>
      <c r="D6" s="157"/>
    </row>
    <row r="7" spans="2:6" ht="36" customHeight="1" x14ac:dyDescent="0.25">
      <c r="B7" s="158" t="s">
        <v>40</v>
      </c>
      <c r="C7" s="158"/>
      <c r="D7" s="158"/>
    </row>
    <row r="8" spans="2:6" ht="30.6" customHeight="1" x14ac:dyDescent="0.25">
      <c r="B8" s="50" t="s">
        <v>1</v>
      </c>
      <c r="C8" s="50" t="s">
        <v>2</v>
      </c>
      <c r="D8" s="50" t="s">
        <v>3</v>
      </c>
      <c r="F8" s="51" t="s">
        <v>43</v>
      </c>
    </row>
    <row r="9" spans="2:6" ht="18.75" customHeight="1" x14ac:dyDescent="0.25">
      <c r="B9" s="159" t="s">
        <v>134</v>
      </c>
      <c r="C9" s="70">
        <v>2301</v>
      </c>
      <c r="D9" s="161">
        <f>SUM(C9)/C10*100</f>
        <v>71.348837209302332</v>
      </c>
      <c r="E9" s="47"/>
      <c r="F9" s="163" t="s">
        <v>44</v>
      </c>
    </row>
    <row r="10" spans="2:6" ht="18.75" customHeight="1" x14ac:dyDescent="0.25">
      <c r="B10" s="160"/>
      <c r="C10" s="70">
        <v>3225</v>
      </c>
      <c r="D10" s="162"/>
      <c r="E10" s="47"/>
      <c r="F10" s="164"/>
    </row>
    <row r="11" spans="2:6" ht="18.75" customHeight="1" x14ac:dyDescent="0.25">
      <c r="B11" s="159" t="s">
        <v>4</v>
      </c>
      <c r="C11" s="70">
        <f>75+33+44</f>
        <v>152</v>
      </c>
      <c r="D11" s="161">
        <f>SUM(C11)/C12*100</f>
        <v>3.8210155857214683</v>
      </c>
      <c r="E11" s="47"/>
      <c r="F11" s="163" t="s">
        <v>44</v>
      </c>
    </row>
    <row r="12" spans="2:6" ht="18.75" customHeight="1" x14ac:dyDescent="0.25">
      <c r="B12" s="160"/>
      <c r="C12" s="70">
        <v>3978</v>
      </c>
      <c r="D12" s="162"/>
      <c r="E12" s="47"/>
      <c r="F12" s="164"/>
    </row>
    <row r="13" spans="2:6" ht="18.75" customHeight="1" x14ac:dyDescent="0.25">
      <c r="B13" s="159" t="s">
        <v>5</v>
      </c>
      <c r="C13" s="70">
        <f>2406+1248+995</f>
        <v>4649</v>
      </c>
      <c r="D13" s="161">
        <f>SUM(C13)/C14*100</f>
        <v>6.8774224089470106</v>
      </c>
      <c r="E13" s="47"/>
      <c r="F13" s="163" t="s">
        <v>44</v>
      </c>
    </row>
    <row r="14" spans="2:6" ht="18.75" customHeight="1" x14ac:dyDescent="0.25">
      <c r="B14" s="160"/>
      <c r="C14" s="70">
        <f>26712+24661+16225</f>
        <v>67598</v>
      </c>
      <c r="D14" s="162"/>
      <c r="E14" s="47"/>
      <c r="F14" s="164"/>
    </row>
    <row r="15" spans="2:6" ht="18.75" customHeight="1" x14ac:dyDescent="0.25">
      <c r="B15" s="159" t="s">
        <v>6</v>
      </c>
      <c r="C15" s="70">
        <v>1012</v>
      </c>
      <c r="D15" s="161">
        <f>+C15/C16*100</f>
        <v>53.01204819277109</v>
      </c>
      <c r="E15" s="47"/>
      <c r="F15" s="163" t="s">
        <v>44</v>
      </c>
    </row>
    <row r="16" spans="2:6" ht="18.75" customHeight="1" x14ac:dyDescent="0.25">
      <c r="B16" s="160"/>
      <c r="C16" s="70">
        <v>1909</v>
      </c>
      <c r="D16" s="162"/>
      <c r="E16" s="47"/>
      <c r="F16" s="164"/>
    </row>
    <row r="17" spans="1:6" ht="18.75" customHeight="1" x14ac:dyDescent="0.25">
      <c r="B17" s="159" t="s">
        <v>7</v>
      </c>
      <c r="C17" s="70">
        <v>1124</v>
      </c>
      <c r="D17" s="161">
        <f>SUM(C17)/C18*100</f>
        <v>100</v>
      </c>
      <c r="E17" s="47"/>
      <c r="F17" s="163" t="s">
        <v>44</v>
      </c>
    </row>
    <row r="18" spans="1:6" ht="18.75" customHeight="1" x14ac:dyDescent="0.25">
      <c r="B18" s="160"/>
      <c r="C18" s="70">
        <v>1124</v>
      </c>
      <c r="D18" s="162"/>
      <c r="E18" s="47"/>
      <c r="F18" s="164"/>
    </row>
    <row r="19" spans="1:6" ht="18.75" customHeight="1" x14ac:dyDescent="0.25">
      <c r="B19" s="159" t="s">
        <v>8</v>
      </c>
      <c r="C19" s="70">
        <v>1124</v>
      </c>
      <c r="D19" s="161">
        <f>SUM(C19)/C20*100</f>
        <v>93.90142021720969</v>
      </c>
      <c r="E19" s="47"/>
      <c r="F19" s="163" t="s">
        <v>44</v>
      </c>
    </row>
    <row r="20" spans="1:6" ht="18.75" customHeight="1" x14ac:dyDescent="0.25">
      <c r="B20" s="160"/>
      <c r="C20" s="70">
        <v>1197</v>
      </c>
      <c r="D20" s="162"/>
      <c r="E20" s="47"/>
      <c r="F20" s="164"/>
    </row>
    <row r="21" spans="1:6" ht="18.75" customHeight="1" x14ac:dyDescent="0.25">
      <c r="B21" s="159" t="s">
        <v>9</v>
      </c>
      <c r="C21" s="70">
        <f>3244+12+120</f>
        <v>3376</v>
      </c>
      <c r="D21" s="161">
        <f>SUM(C21)/C22*100</f>
        <v>84.866767219708393</v>
      </c>
      <c r="E21" s="47"/>
      <c r="F21" s="163" t="s">
        <v>44</v>
      </c>
    </row>
    <row r="22" spans="1:6" ht="18.75" customHeight="1" x14ac:dyDescent="0.25">
      <c r="B22" s="160"/>
      <c r="C22" s="70">
        <v>3978</v>
      </c>
      <c r="D22" s="162"/>
      <c r="E22" s="47"/>
      <c r="F22" s="164"/>
    </row>
    <row r="23" spans="1:6" ht="18.75" customHeight="1" x14ac:dyDescent="0.25">
      <c r="B23" s="159" t="s">
        <v>10</v>
      </c>
      <c r="C23" s="70">
        <f>493+251+227</f>
        <v>971</v>
      </c>
      <c r="D23" s="161">
        <f>SUM(C23)/C24*100</f>
        <v>24.409250879839114</v>
      </c>
      <c r="E23" s="47"/>
      <c r="F23" s="163" t="s">
        <v>44</v>
      </c>
    </row>
    <row r="24" spans="1:6" ht="18.75" customHeight="1" x14ac:dyDescent="0.25">
      <c r="B24" s="160"/>
      <c r="C24" s="70">
        <v>3978</v>
      </c>
      <c r="D24" s="162"/>
      <c r="E24" s="47"/>
      <c r="F24" s="164"/>
    </row>
    <row r="25" spans="1:6" ht="18.75" customHeight="1" x14ac:dyDescent="0.25">
      <c r="A25" s="168"/>
      <c r="B25" s="159" t="s">
        <v>63</v>
      </c>
      <c r="C25" s="70">
        <v>3978</v>
      </c>
      <c r="D25" s="161">
        <f>+C25/C26*100</f>
        <v>100</v>
      </c>
      <c r="E25" s="47"/>
      <c r="F25" s="163" t="s">
        <v>64</v>
      </c>
    </row>
    <row r="26" spans="1:6" ht="18.75" customHeight="1" x14ac:dyDescent="0.25">
      <c r="A26" s="168"/>
      <c r="B26" s="160"/>
      <c r="C26" s="70">
        <v>3978</v>
      </c>
      <c r="D26" s="162"/>
      <c r="E26" s="47"/>
      <c r="F26" s="164"/>
    </row>
    <row r="27" spans="1:6" ht="18.75" customHeight="1" x14ac:dyDescent="0.25">
      <c r="B27" s="159" t="s">
        <v>103</v>
      </c>
      <c r="C27" s="70">
        <v>66</v>
      </c>
      <c r="D27" s="161">
        <f>+C27/C28*100</f>
        <v>1.6591251885369533</v>
      </c>
      <c r="E27" s="47"/>
      <c r="F27" s="163" t="s">
        <v>44</v>
      </c>
    </row>
    <row r="28" spans="1:6" ht="18.75" customHeight="1" x14ac:dyDescent="0.25">
      <c r="B28" s="160"/>
      <c r="C28" s="70">
        <v>3978</v>
      </c>
      <c r="D28" s="162"/>
      <c r="E28" s="47"/>
      <c r="F28" s="164"/>
    </row>
    <row r="29" spans="1:6" ht="30.6" customHeight="1" x14ac:dyDescent="0.25">
      <c r="B29" s="50" t="s">
        <v>11</v>
      </c>
      <c r="C29" s="50" t="s">
        <v>2</v>
      </c>
      <c r="D29" s="50" t="s">
        <v>3</v>
      </c>
      <c r="F29" s="51" t="s">
        <v>43</v>
      </c>
    </row>
    <row r="30" spans="1:6" ht="18.75" customHeight="1" x14ac:dyDescent="0.25">
      <c r="B30" s="159" t="s">
        <v>12</v>
      </c>
      <c r="C30" s="70">
        <v>3978</v>
      </c>
      <c r="D30" s="166">
        <f>SUM(C30)/C31</f>
        <v>17.072961373390559</v>
      </c>
      <c r="E30" s="47"/>
      <c r="F30" s="163" t="s">
        <v>45</v>
      </c>
    </row>
    <row r="31" spans="1:6" ht="19.2" customHeight="1" x14ac:dyDescent="0.25">
      <c r="B31" s="160"/>
      <c r="C31" s="70">
        <v>233</v>
      </c>
      <c r="D31" s="167"/>
      <c r="E31" s="47"/>
      <c r="F31" s="164"/>
    </row>
    <row r="32" spans="1:6" ht="19.2" customHeight="1" x14ac:dyDescent="0.25">
      <c r="B32" s="159" t="s">
        <v>13</v>
      </c>
      <c r="C32" s="70">
        <v>222</v>
      </c>
      <c r="D32" s="161">
        <f>SUM(C32)/C33*100</f>
        <v>95.278969957081543</v>
      </c>
      <c r="E32" s="47"/>
      <c r="F32" s="163" t="s">
        <v>45</v>
      </c>
    </row>
    <row r="33" spans="2:6" ht="19.2" customHeight="1" x14ac:dyDescent="0.25">
      <c r="B33" s="160"/>
      <c r="C33" s="70">
        <v>233</v>
      </c>
      <c r="D33" s="162"/>
      <c r="E33" s="47"/>
      <c r="F33" s="164"/>
    </row>
    <row r="34" spans="2:6" ht="19.2" customHeight="1" x14ac:dyDescent="0.25">
      <c r="B34" s="159" t="s">
        <v>14</v>
      </c>
      <c r="C34" s="70">
        <v>233</v>
      </c>
      <c r="D34" s="161">
        <f>SUM(C34)/C35*100</f>
        <v>100</v>
      </c>
      <c r="E34" s="47"/>
      <c r="F34" s="163" t="s">
        <v>45</v>
      </c>
    </row>
    <row r="35" spans="2:6" ht="19.2" customHeight="1" x14ac:dyDescent="0.25">
      <c r="B35" s="160"/>
      <c r="C35" s="70">
        <v>233</v>
      </c>
      <c r="D35" s="162"/>
      <c r="E35" s="47"/>
      <c r="F35" s="164"/>
    </row>
    <row r="36" spans="2:6" ht="19.2" customHeight="1" x14ac:dyDescent="0.25">
      <c r="B36" s="159" t="s">
        <v>15</v>
      </c>
      <c r="C36" s="70">
        <v>104</v>
      </c>
      <c r="D36" s="161">
        <f>SUM(C36)/C37*100</f>
        <v>44.63519313304721</v>
      </c>
      <c r="E36" s="47"/>
      <c r="F36" s="163" t="s">
        <v>45</v>
      </c>
    </row>
    <row r="37" spans="2:6" ht="19.2" customHeight="1" x14ac:dyDescent="0.25">
      <c r="B37" s="160"/>
      <c r="C37" s="70">
        <v>233</v>
      </c>
      <c r="D37" s="162"/>
      <c r="E37" s="47"/>
      <c r="F37" s="164"/>
    </row>
    <row r="38" spans="2:6" ht="19.2" customHeight="1" x14ac:dyDescent="0.25">
      <c r="B38" s="159" t="s">
        <v>16</v>
      </c>
      <c r="C38" s="70">
        <v>154</v>
      </c>
      <c r="D38" s="161">
        <f>SUM(C38)/C39*100</f>
        <v>66.094420600858371</v>
      </c>
      <c r="E38" s="47"/>
      <c r="F38" s="163" t="s">
        <v>45</v>
      </c>
    </row>
    <row r="39" spans="2:6" ht="19.2" customHeight="1" x14ac:dyDescent="0.25">
      <c r="B39" s="160"/>
      <c r="C39" s="70">
        <v>233</v>
      </c>
      <c r="D39" s="162"/>
      <c r="E39" s="47"/>
      <c r="F39" s="164"/>
    </row>
    <row r="40" spans="2:6" ht="19.2" customHeight="1" x14ac:dyDescent="0.25">
      <c r="B40" s="169" t="s">
        <v>17</v>
      </c>
      <c r="C40" s="70">
        <v>233</v>
      </c>
      <c r="D40" s="171">
        <f>+C40/C41*100</f>
        <v>100</v>
      </c>
      <c r="E40" s="47"/>
      <c r="F40" s="163" t="s">
        <v>45</v>
      </c>
    </row>
    <row r="41" spans="2:6" ht="19.2" customHeight="1" x14ac:dyDescent="0.25">
      <c r="B41" s="170"/>
      <c r="C41" s="70">
        <v>233</v>
      </c>
      <c r="D41" s="172"/>
      <c r="E41" s="47"/>
      <c r="F41" s="164"/>
    </row>
    <row r="42" spans="2:6" ht="30.6" customHeight="1" x14ac:dyDescent="0.25">
      <c r="B42" s="50" t="s">
        <v>18</v>
      </c>
      <c r="C42" s="50" t="s">
        <v>2</v>
      </c>
      <c r="D42" s="50" t="s">
        <v>3</v>
      </c>
      <c r="F42" s="51" t="s">
        <v>43</v>
      </c>
    </row>
    <row r="43" spans="2:6" ht="18.75" customHeight="1" x14ac:dyDescent="0.25">
      <c r="B43" s="159" t="s">
        <v>19</v>
      </c>
      <c r="C43" s="52"/>
      <c r="D43" s="173" t="s">
        <v>20</v>
      </c>
      <c r="F43" s="173"/>
    </row>
    <row r="44" spans="2:6" ht="18.75" customHeight="1" x14ac:dyDescent="0.25">
      <c r="B44" s="160"/>
      <c r="C44" s="52"/>
      <c r="D44" s="174"/>
      <c r="F44" s="174"/>
    </row>
    <row r="45" spans="2:6" ht="18.75" customHeight="1" x14ac:dyDescent="0.25">
      <c r="B45" s="159" t="s">
        <v>21</v>
      </c>
      <c r="C45" s="70">
        <v>1793</v>
      </c>
      <c r="D45" s="161">
        <f>SUM(C45)/C46*100</f>
        <v>29.607001321003963</v>
      </c>
      <c r="E45" s="47"/>
      <c r="F45" s="163" t="s">
        <v>46</v>
      </c>
    </row>
    <row r="46" spans="2:6" ht="18.75" customHeight="1" x14ac:dyDescent="0.25">
      <c r="B46" s="160"/>
      <c r="C46" s="70">
        <v>6056</v>
      </c>
      <c r="D46" s="162"/>
      <c r="E46" s="47"/>
      <c r="F46" s="164"/>
    </row>
    <row r="47" spans="2:6" ht="18.75" customHeight="1" x14ac:dyDescent="0.25">
      <c r="B47" s="159" t="s">
        <v>22</v>
      </c>
      <c r="C47" s="70">
        <v>1365</v>
      </c>
      <c r="D47" s="161">
        <f>SUM(C47)/C48*100</f>
        <v>22.539630118890358</v>
      </c>
      <c r="E47" s="47"/>
      <c r="F47" s="163" t="s">
        <v>46</v>
      </c>
    </row>
    <row r="48" spans="2:6" ht="18.75" customHeight="1" x14ac:dyDescent="0.25">
      <c r="B48" s="160"/>
      <c r="C48" s="70">
        <v>6056</v>
      </c>
      <c r="D48" s="162"/>
      <c r="E48" s="47"/>
      <c r="F48" s="164"/>
    </row>
    <row r="49" spans="2:8" ht="18.75" customHeight="1" x14ac:dyDescent="0.25">
      <c r="B49" s="159" t="s">
        <v>23</v>
      </c>
      <c r="C49" s="70">
        <v>603</v>
      </c>
      <c r="D49" s="161">
        <f>SUM(C49)/C50*100</f>
        <v>15.158371040723981</v>
      </c>
      <c r="E49" s="47"/>
      <c r="F49" s="163" t="s">
        <v>56</v>
      </c>
    </row>
    <row r="50" spans="2:8" ht="18.75" customHeight="1" x14ac:dyDescent="0.25">
      <c r="B50" s="160"/>
      <c r="C50" s="70">
        <v>3978</v>
      </c>
      <c r="D50" s="162"/>
      <c r="E50" s="47"/>
      <c r="F50" s="164"/>
    </row>
    <row r="51" spans="2:8" ht="18.75" customHeight="1" x14ac:dyDescent="0.25">
      <c r="B51" s="159" t="s">
        <v>24</v>
      </c>
      <c r="C51" s="70">
        <v>454</v>
      </c>
      <c r="D51" s="161">
        <f>SUM(C51)/C52*100</f>
        <v>11.412770236299648</v>
      </c>
      <c r="E51" s="47"/>
      <c r="F51" s="163" t="s">
        <v>56</v>
      </c>
    </row>
    <row r="52" spans="2:8" ht="18.75" customHeight="1" x14ac:dyDescent="0.25">
      <c r="B52" s="160"/>
      <c r="C52" s="70">
        <v>3978</v>
      </c>
      <c r="D52" s="162"/>
      <c r="E52" s="47"/>
      <c r="F52" s="164"/>
    </row>
    <row r="53" spans="2:8" ht="18.75" customHeight="1" x14ac:dyDescent="0.25">
      <c r="B53" s="159" t="s">
        <v>25</v>
      </c>
      <c r="C53" s="70">
        <v>144</v>
      </c>
      <c r="D53" s="161">
        <f>SUM(C53)/C54*100</f>
        <v>13.859480269489893</v>
      </c>
      <c r="E53" s="47"/>
      <c r="F53" s="163" t="s">
        <v>47</v>
      </c>
    </row>
    <row r="54" spans="2:8" ht="18.75" customHeight="1" x14ac:dyDescent="0.25">
      <c r="B54" s="160"/>
      <c r="C54" s="70">
        <v>1039</v>
      </c>
      <c r="D54" s="162"/>
      <c r="E54" s="47"/>
      <c r="F54" s="164"/>
    </row>
    <row r="55" spans="2:8" ht="18.75" customHeight="1" x14ac:dyDescent="0.25">
      <c r="B55" s="159" t="s">
        <v>26</v>
      </c>
      <c r="C55" s="70">
        <v>31</v>
      </c>
      <c r="D55" s="161">
        <f>SUM(C55)/C56*100</f>
        <v>100</v>
      </c>
      <c r="E55" s="47"/>
      <c r="F55" s="163" t="s">
        <v>48</v>
      </c>
      <c r="H55" s="175"/>
    </row>
    <row r="56" spans="2:8" ht="18.75" customHeight="1" x14ac:dyDescent="0.25">
      <c r="B56" s="160"/>
      <c r="C56" s="70">
        <v>31</v>
      </c>
      <c r="D56" s="162"/>
      <c r="E56" s="47"/>
      <c r="F56" s="164"/>
      <c r="H56" s="175"/>
    </row>
    <row r="57" spans="2:8" ht="30.6" customHeight="1" x14ac:dyDescent="0.25">
      <c r="B57" s="50" t="s">
        <v>27</v>
      </c>
      <c r="C57" s="50" t="s">
        <v>2</v>
      </c>
      <c r="D57" s="50" t="s">
        <v>3</v>
      </c>
      <c r="F57" s="51" t="s">
        <v>43</v>
      </c>
    </row>
    <row r="58" spans="2:8" ht="18.75" customHeight="1" x14ac:dyDescent="0.25">
      <c r="B58" s="159" t="s">
        <v>28</v>
      </c>
      <c r="C58" s="71">
        <v>314.16000000000003</v>
      </c>
      <c r="D58" s="176">
        <f>SUM(C58)/C59*100</f>
        <v>7.85997357992074</v>
      </c>
      <c r="E58" s="47"/>
      <c r="F58" s="163" t="s">
        <v>49</v>
      </c>
    </row>
    <row r="59" spans="2:8" ht="18.75" customHeight="1" x14ac:dyDescent="0.25">
      <c r="B59" s="160"/>
      <c r="C59" s="72">
        <v>3996.96</v>
      </c>
      <c r="D59" s="177"/>
      <c r="E59" s="47"/>
      <c r="F59" s="164"/>
    </row>
    <row r="60" spans="2:8" ht="18.75" customHeight="1" x14ac:dyDescent="0.25">
      <c r="B60" s="159" t="s">
        <v>29</v>
      </c>
      <c r="C60" s="72">
        <v>39.6</v>
      </c>
      <c r="D60" s="176">
        <f>SUM(C60)/C61*100</f>
        <v>54.054054054054056</v>
      </c>
      <c r="E60" s="47"/>
      <c r="F60" s="163" t="s">
        <v>49</v>
      </c>
    </row>
    <row r="61" spans="2:8" ht="18.75" customHeight="1" x14ac:dyDescent="0.25">
      <c r="B61" s="160"/>
      <c r="C61" s="72">
        <v>73.260000000000005</v>
      </c>
      <c r="D61" s="177"/>
      <c r="E61" s="47"/>
      <c r="F61" s="164"/>
    </row>
    <row r="62" spans="2:8" ht="18.75" customHeight="1" x14ac:dyDescent="0.25">
      <c r="B62" s="159" t="s">
        <v>30</v>
      </c>
      <c r="C62" s="72">
        <v>5.94</v>
      </c>
      <c r="D62" s="176">
        <f>SUM(C62)/C63*100</f>
        <v>8.1081081081081088</v>
      </c>
      <c r="E62" s="47"/>
      <c r="F62" s="163" t="s">
        <v>49</v>
      </c>
    </row>
    <row r="63" spans="2:8" ht="18.75" customHeight="1" x14ac:dyDescent="0.25">
      <c r="B63" s="160"/>
      <c r="C63" s="72">
        <v>73.260000000000005</v>
      </c>
      <c r="D63" s="177"/>
      <c r="E63" s="47"/>
      <c r="F63" s="164"/>
    </row>
    <row r="64" spans="2:8" ht="18.75" customHeight="1" x14ac:dyDescent="0.25">
      <c r="B64" s="159" t="s">
        <v>31</v>
      </c>
      <c r="C64" s="72">
        <v>4515657.9400000004</v>
      </c>
      <c r="D64" s="176">
        <f>SUM(C64)/C65*100</f>
        <v>5.6825178728082948</v>
      </c>
      <c r="E64" s="47"/>
      <c r="F64" s="53" t="s">
        <v>136</v>
      </c>
    </row>
    <row r="65" spans="2:8" ht="18.75" customHeight="1" x14ac:dyDescent="0.25">
      <c r="B65" s="160"/>
      <c r="C65" s="72">
        <v>79465793.88000001</v>
      </c>
      <c r="D65" s="177"/>
      <c r="E65" s="47"/>
      <c r="F65" s="54" t="s">
        <v>53</v>
      </c>
    </row>
    <row r="66" spans="2:8" ht="30.6" customHeight="1" x14ac:dyDescent="0.25">
      <c r="B66" s="50" t="s">
        <v>32</v>
      </c>
      <c r="C66" s="50" t="s">
        <v>2</v>
      </c>
      <c r="D66" s="50" t="s">
        <v>3</v>
      </c>
      <c r="F66" s="51" t="s">
        <v>43</v>
      </c>
    </row>
    <row r="67" spans="2:8" ht="18.75" customHeight="1" x14ac:dyDescent="0.25">
      <c r="B67" s="159" t="s">
        <v>33</v>
      </c>
      <c r="C67" s="70">
        <v>1516</v>
      </c>
      <c r="D67" s="180">
        <f>+C67/C68*100</f>
        <v>62.852404643449425</v>
      </c>
      <c r="E67" s="47"/>
      <c r="F67" s="53" t="s">
        <v>138</v>
      </c>
    </row>
    <row r="68" spans="2:8" ht="18.75" customHeight="1" x14ac:dyDescent="0.25">
      <c r="B68" s="160"/>
      <c r="C68" s="70">
        <v>2412</v>
      </c>
      <c r="D68" s="181"/>
      <c r="E68" s="47"/>
      <c r="F68" s="54" t="s">
        <v>135</v>
      </c>
    </row>
    <row r="69" spans="2:8" ht="18.75" customHeight="1" x14ac:dyDescent="0.25">
      <c r="B69" s="159" t="s">
        <v>34</v>
      </c>
      <c r="C69" s="70">
        <v>98</v>
      </c>
      <c r="D69" s="161">
        <f>SUM(C69)/C70*100</f>
        <v>175</v>
      </c>
      <c r="E69" s="47"/>
      <c r="F69" s="55" t="s">
        <v>136</v>
      </c>
      <c r="H69" s="178"/>
    </row>
    <row r="70" spans="2:8" ht="18.75" customHeight="1" x14ac:dyDescent="0.25">
      <c r="B70" s="160"/>
      <c r="C70" s="70">
        <v>56</v>
      </c>
      <c r="D70" s="162"/>
      <c r="E70" s="47"/>
      <c r="F70" s="54" t="s">
        <v>50</v>
      </c>
      <c r="H70" s="178"/>
    </row>
    <row r="71" spans="2:8" ht="18.75" customHeight="1" x14ac:dyDescent="0.25">
      <c r="B71" s="159" t="s">
        <v>35</v>
      </c>
      <c r="C71" s="70">
        <v>10710</v>
      </c>
      <c r="D71" s="161">
        <f>SUM(C71)/C72</f>
        <v>2.6923076923076925</v>
      </c>
      <c r="E71" s="47"/>
      <c r="F71" s="179" t="s">
        <v>51</v>
      </c>
    </row>
    <row r="72" spans="2:8" ht="18.75" customHeight="1" x14ac:dyDescent="0.25">
      <c r="B72" s="160"/>
      <c r="C72" s="70">
        <v>3978</v>
      </c>
      <c r="D72" s="162"/>
      <c r="E72" s="47"/>
      <c r="F72" s="179"/>
    </row>
    <row r="73" spans="2:8" ht="18.75" customHeight="1" x14ac:dyDescent="0.25">
      <c r="B73" s="159" t="s">
        <v>36</v>
      </c>
      <c r="C73" s="70">
        <v>3978</v>
      </c>
      <c r="D73" s="166">
        <f>SUM(C73)/C74</f>
        <v>12.354037267080745</v>
      </c>
      <c r="E73" s="47"/>
      <c r="F73" s="182" t="s">
        <v>52</v>
      </c>
    </row>
    <row r="74" spans="2:8" ht="18.75" customHeight="1" x14ac:dyDescent="0.25">
      <c r="B74" s="160"/>
      <c r="C74" s="70">
        <v>322</v>
      </c>
      <c r="D74" s="167"/>
      <c r="E74" s="47"/>
      <c r="F74" s="183"/>
    </row>
    <row r="75" spans="2:8" ht="18.75" customHeight="1" x14ac:dyDescent="0.25">
      <c r="B75" s="159" t="s">
        <v>37</v>
      </c>
      <c r="C75" s="70">
        <v>3978</v>
      </c>
      <c r="D75" s="166">
        <f>SUM(C75)/C76</f>
        <v>35.517857142857146</v>
      </c>
      <c r="E75" s="47"/>
      <c r="F75" s="163" t="s">
        <v>45</v>
      </c>
    </row>
    <row r="76" spans="2:8" ht="18.75" customHeight="1" x14ac:dyDescent="0.25">
      <c r="B76" s="160"/>
      <c r="C76" s="70">
        <v>112</v>
      </c>
      <c r="D76" s="167"/>
      <c r="E76" s="47"/>
      <c r="F76" s="164"/>
    </row>
    <row r="77" spans="2:8" ht="18.75" customHeight="1" x14ac:dyDescent="0.25">
      <c r="B77" s="159" t="s">
        <v>38</v>
      </c>
      <c r="C77" s="70">
        <v>112</v>
      </c>
      <c r="D77" s="161">
        <f>SUM(C77)/C78*100</f>
        <v>100</v>
      </c>
      <c r="E77" s="47"/>
      <c r="F77" s="163" t="s">
        <v>45</v>
      </c>
    </row>
    <row r="78" spans="2:8" ht="18.75" customHeight="1" x14ac:dyDescent="0.25">
      <c r="B78" s="160"/>
      <c r="C78" s="70">
        <v>112</v>
      </c>
      <c r="D78" s="162"/>
      <c r="E78" s="47"/>
      <c r="F78" s="164"/>
    </row>
    <row r="79" spans="2:8" ht="18.75" customHeight="1" x14ac:dyDescent="0.25">
      <c r="B79" s="159" t="s">
        <v>39</v>
      </c>
      <c r="C79" s="73">
        <v>120402718</v>
      </c>
      <c r="D79" s="161">
        <f>SUM(C79)/C80/1000</f>
        <v>30.267148818501759</v>
      </c>
      <c r="E79" s="47"/>
      <c r="F79" s="163" t="s">
        <v>53</v>
      </c>
      <c r="G79" s="69"/>
    </row>
    <row r="80" spans="2:8" ht="18.75" customHeight="1" x14ac:dyDescent="0.25">
      <c r="B80" s="160"/>
      <c r="C80" s="70">
        <v>3978</v>
      </c>
      <c r="D80" s="162"/>
      <c r="E80" s="47"/>
      <c r="F80" s="164"/>
    </row>
    <row r="81" spans="2:6" x14ac:dyDescent="0.25">
      <c r="B81" s="47"/>
      <c r="C81" s="47"/>
      <c r="D81" s="47"/>
      <c r="F81" s="57"/>
    </row>
    <row r="82" spans="2:6" ht="109.2" customHeight="1" x14ac:dyDescent="0.5">
      <c r="B82" s="58" t="s">
        <v>61</v>
      </c>
    </row>
    <row r="83" spans="2:6" x14ac:dyDescent="0.25">
      <c r="B83" s="59" t="s">
        <v>60</v>
      </c>
      <c r="C83" s="165"/>
      <c r="D83" s="165"/>
    </row>
  </sheetData>
  <mergeCells count="106">
    <mergeCell ref="B77:B78"/>
    <mergeCell ref="D77:D78"/>
    <mergeCell ref="F77:F78"/>
    <mergeCell ref="B79:B80"/>
    <mergeCell ref="D79:D80"/>
    <mergeCell ref="F79:F80"/>
    <mergeCell ref="B73:B74"/>
    <mergeCell ref="D73:D74"/>
    <mergeCell ref="F73:F74"/>
    <mergeCell ref="B75:B76"/>
    <mergeCell ref="D75:D76"/>
    <mergeCell ref="F75:F76"/>
    <mergeCell ref="B69:B70"/>
    <mergeCell ref="D69:D70"/>
    <mergeCell ref="H69:H70"/>
    <mergeCell ref="B71:B72"/>
    <mergeCell ref="D71:D72"/>
    <mergeCell ref="F71:F72"/>
    <mergeCell ref="B64:B65"/>
    <mergeCell ref="D64:D65"/>
    <mergeCell ref="B67:B68"/>
    <mergeCell ref="D67:D68"/>
    <mergeCell ref="B60:B61"/>
    <mergeCell ref="D60:D61"/>
    <mergeCell ref="F60:F61"/>
    <mergeCell ref="B62:B63"/>
    <mergeCell ref="D62:D63"/>
    <mergeCell ref="F62:F63"/>
    <mergeCell ref="B55:B56"/>
    <mergeCell ref="D55:D56"/>
    <mergeCell ref="F55:F56"/>
    <mergeCell ref="H55:H56"/>
    <mergeCell ref="B58:B59"/>
    <mergeCell ref="D58:D59"/>
    <mergeCell ref="F58:F59"/>
    <mergeCell ref="B51:B52"/>
    <mergeCell ref="D51:D52"/>
    <mergeCell ref="F51:F52"/>
    <mergeCell ref="B53:B54"/>
    <mergeCell ref="D53:D54"/>
    <mergeCell ref="F53:F54"/>
    <mergeCell ref="B47:B48"/>
    <mergeCell ref="D47:D48"/>
    <mergeCell ref="F47:F48"/>
    <mergeCell ref="B49:B50"/>
    <mergeCell ref="D49:D50"/>
    <mergeCell ref="F49:F50"/>
    <mergeCell ref="B43:B44"/>
    <mergeCell ref="D43:D44"/>
    <mergeCell ref="F43:F44"/>
    <mergeCell ref="B45:B46"/>
    <mergeCell ref="D45:D46"/>
    <mergeCell ref="F45:F46"/>
    <mergeCell ref="B40:B41"/>
    <mergeCell ref="D40:D41"/>
    <mergeCell ref="F40:F41"/>
    <mergeCell ref="B34:B35"/>
    <mergeCell ref="D34:D35"/>
    <mergeCell ref="F34:F35"/>
    <mergeCell ref="B36:B37"/>
    <mergeCell ref="D36:D37"/>
    <mergeCell ref="F36:F37"/>
    <mergeCell ref="F32:F33"/>
    <mergeCell ref="A25:A26"/>
    <mergeCell ref="B25:B26"/>
    <mergeCell ref="D25:D26"/>
    <mergeCell ref="F25:F26"/>
    <mergeCell ref="B27:B28"/>
    <mergeCell ref="D27:D28"/>
    <mergeCell ref="F27:F28"/>
    <mergeCell ref="B38:B39"/>
    <mergeCell ref="D38:D39"/>
    <mergeCell ref="F38:F39"/>
    <mergeCell ref="B23:B24"/>
    <mergeCell ref="D23:D24"/>
    <mergeCell ref="F23:F24"/>
    <mergeCell ref="C83:D83"/>
    <mergeCell ref="B9:B10"/>
    <mergeCell ref="D9:D10"/>
    <mergeCell ref="F9:F10"/>
    <mergeCell ref="B11:B12"/>
    <mergeCell ref="D11:D12"/>
    <mergeCell ref="F11:F12"/>
    <mergeCell ref="B13:B14"/>
    <mergeCell ref="D13:D14"/>
    <mergeCell ref="F13:F14"/>
    <mergeCell ref="B15:B16"/>
    <mergeCell ref="D15:D16"/>
    <mergeCell ref="F15:F16"/>
    <mergeCell ref="B17:B18"/>
    <mergeCell ref="D17:D18"/>
    <mergeCell ref="F17:F18"/>
    <mergeCell ref="B30:B31"/>
    <mergeCell ref="D30:D31"/>
    <mergeCell ref="F30:F31"/>
    <mergeCell ref="B32:B33"/>
    <mergeCell ref="D32:D33"/>
    <mergeCell ref="B5:D5"/>
    <mergeCell ref="B6:D6"/>
    <mergeCell ref="B7:D7"/>
    <mergeCell ref="B19:B20"/>
    <mergeCell ref="D19:D20"/>
    <mergeCell ref="F19:F20"/>
    <mergeCell ref="B21:B22"/>
    <mergeCell ref="D21:D22"/>
    <mergeCell ref="F21:F22"/>
  </mergeCells>
  <printOptions horizontalCentered="1" verticalCentered="1"/>
  <pageMargins left="0.39370078740157483" right="0.39370078740157483" top="0.39370078740157483" bottom="0.39370078740157483" header="0.31496062992125984" footer="0.31496062992125984"/>
  <pageSetup scale="46" orientation="portrait"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pageSetUpPr fitToPage="1"/>
  </sheetPr>
  <dimension ref="A4:H83"/>
  <sheetViews>
    <sheetView zoomScale="80" zoomScaleNormal="80" zoomScaleSheetLayoutView="75" workbookViewId="0">
      <selection activeCell="D75" sqref="D75:D76"/>
    </sheetView>
  </sheetViews>
  <sheetFormatPr baseColWidth="10" defaultColWidth="11.5546875" defaultRowHeight="13.2" x14ac:dyDescent="0.25"/>
  <cols>
    <col min="1" max="1" width="2.88671875" style="1" customWidth="1"/>
    <col min="2" max="2" width="77.6640625" style="1" customWidth="1"/>
    <col min="3" max="3" width="15.6640625" style="1" customWidth="1"/>
    <col min="4" max="4" width="14.6640625" style="1" customWidth="1"/>
    <col min="5" max="5" width="3.6640625" style="79" customWidth="1"/>
    <col min="6" max="6" width="24.33203125" style="1" customWidth="1"/>
    <col min="7" max="7" width="2.44140625" style="1" customWidth="1"/>
    <col min="8" max="8" width="76.6640625" style="1" customWidth="1"/>
    <col min="9" max="16384" width="11.5546875" style="1"/>
  </cols>
  <sheetData>
    <row r="4" spans="2:6" ht="17.399999999999999" x14ac:dyDescent="0.25">
      <c r="B4" s="77"/>
      <c r="C4" s="78"/>
      <c r="D4" s="78"/>
      <c r="F4" s="78"/>
    </row>
    <row r="5" spans="2:6" ht="46.5" customHeight="1" x14ac:dyDescent="0.25">
      <c r="B5" s="217" t="s">
        <v>146</v>
      </c>
      <c r="C5" s="217"/>
      <c r="D5" s="217"/>
    </row>
    <row r="6" spans="2:6" ht="17.399999999999999" x14ac:dyDescent="0.25">
      <c r="B6" s="218" t="s">
        <v>0</v>
      </c>
      <c r="C6" s="219"/>
      <c r="D6" s="220"/>
    </row>
    <row r="7" spans="2:6" ht="36" customHeight="1" x14ac:dyDescent="0.25">
      <c r="B7" s="221" t="s">
        <v>40</v>
      </c>
      <c r="C7" s="221"/>
      <c r="D7" s="221"/>
    </row>
    <row r="8" spans="2:6" ht="30.6" customHeight="1" x14ac:dyDescent="0.25">
      <c r="B8" s="80" t="s">
        <v>1</v>
      </c>
      <c r="C8" s="80" t="s">
        <v>2</v>
      </c>
      <c r="D8" s="80" t="s">
        <v>3</v>
      </c>
      <c r="F8" s="81" t="s">
        <v>43</v>
      </c>
    </row>
    <row r="9" spans="2:6" ht="18.75" customHeight="1" x14ac:dyDescent="0.25">
      <c r="B9" s="184" t="s">
        <v>134</v>
      </c>
      <c r="C9" s="82">
        <v>1986</v>
      </c>
      <c r="D9" s="186">
        <f>SUM(C9)/C10*100</f>
        <v>70.726495726495727</v>
      </c>
      <c r="F9" s="188" t="s">
        <v>44</v>
      </c>
    </row>
    <row r="10" spans="2:6" ht="18.75" customHeight="1" x14ac:dyDescent="0.25">
      <c r="B10" s="185"/>
      <c r="C10" s="82">
        <v>2808</v>
      </c>
      <c r="D10" s="187"/>
      <c r="F10" s="189"/>
    </row>
    <row r="11" spans="2:6" ht="18.75" customHeight="1" x14ac:dyDescent="0.25">
      <c r="B11" s="184" t="s">
        <v>4</v>
      </c>
      <c r="C11" s="82">
        <f>40+33+37</f>
        <v>110</v>
      </c>
      <c r="D11" s="186">
        <f>SUM(C11)/C12*100</f>
        <v>3.0013642564802185</v>
      </c>
      <c r="F11" s="188" t="s">
        <v>44</v>
      </c>
    </row>
    <row r="12" spans="2:6" ht="18.75" customHeight="1" x14ac:dyDescent="0.25">
      <c r="B12" s="185"/>
      <c r="C12" s="82">
        <v>3665</v>
      </c>
      <c r="D12" s="187"/>
      <c r="F12" s="189"/>
    </row>
    <row r="13" spans="2:6" ht="18.75" customHeight="1" x14ac:dyDescent="0.25">
      <c r="B13" s="193" t="s">
        <v>5</v>
      </c>
      <c r="C13" s="74">
        <f>2963+1118+1009</f>
        <v>5090</v>
      </c>
      <c r="D13" s="195">
        <f>SUM(C13)/C14*100</f>
        <v>8.5037423148890667</v>
      </c>
      <c r="F13" s="188" t="s">
        <v>44</v>
      </c>
    </row>
    <row r="14" spans="2:6" ht="18.75" customHeight="1" x14ac:dyDescent="0.25">
      <c r="B14" s="194"/>
      <c r="C14" s="74">
        <f>24226+21787+13843</f>
        <v>59856</v>
      </c>
      <c r="D14" s="196"/>
      <c r="F14" s="189"/>
    </row>
    <row r="15" spans="2:6" ht="18.75" customHeight="1" x14ac:dyDescent="0.25">
      <c r="B15" s="193" t="s">
        <v>6</v>
      </c>
      <c r="C15" s="74">
        <v>982</v>
      </c>
      <c r="D15" s="195">
        <f>+C15/C16*100</f>
        <v>50.514403292181065</v>
      </c>
      <c r="F15" s="188" t="s">
        <v>44</v>
      </c>
    </row>
    <row r="16" spans="2:6" ht="18.75" customHeight="1" x14ac:dyDescent="0.25">
      <c r="B16" s="194"/>
      <c r="C16" s="74">
        <v>1944</v>
      </c>
      <c r="D16" s="196"/>
      <c r="F16" s="189"/>
    </row>
    <row r="17" spans="1:6" ht="18.75" customHeight="1" x14ac:dyDescent="0.25">
      <c r="B17" s="193" t="s">
        <v>7</v>
      </c>
      <c r="C17" s="74">
        <f>17+7+1054</f>
        <v>1078</v>
      </c>
      <c r="D17" s="195">
        <f>SUM(C17)/C18*100</f>
        <v>100</v>
      </c>
      <c r="F17" s="188" t="s">
        <v>44</v>
      </c>
    </row>
    <row r="18" spans="1:6" ht="18.75" customHeight="1" x14ac:dyDescent="0.25">
      <c r="B18" s="194"/>
      <c r="C18" s="74">
        <f>17+7+1054</f>
        <v>1078</v>
      </c>
      <c r="D18" s="196"/>
      <c r="F18" s="189"/>
    </row>
    <row r="19" spans="1:6" ht="18.75" customHeight="1" x14ac:dyDescent="0.25">
      <c r="B19" s="193" t="s">
        <v>8</v>
      </c>
      <c r="C19" s="74">
        <f>17+7+1054</f>
        <v>1078</v>
      </c>
      <c r="D19" s="195">
        <f>SUM(C19)/C20*100</f>
        <v>91.744680851063833</v>
      </c>
      <c r="F19" s="188" t="s">
        <v>44</v>
      </c>
    </row>
    <row r="20" spans="1:6" ht="18.75" customHeight="1" x14ac:dyDescent="0.25">
      <c r="B20" s="194"/>
      <c r="C20" s="74">
        <f>31+13+1131</f>
        <v>1175</v>
      </c>
      <c r="D20" s="196"/>
      <c r="F20" s="189"/>
    </row>
    <row r="21" spans="1:6" ht="18.75" customHeight="1" x14ac:dyDescent="0.25">
      <c r="B21" s="193" t="s">
        <v>9</v>
      </c>
      <c r="C21" s="74">
        <f>2669+25+23</f>
        <v>2717</v>
      </c>
      <c r="D21" s="195">
        <f>SUM(C21)/C22*100</f>
        <v>74.133697135061396</v>
      </c>
      <c r="F21" s="188" t="s">
        <v>44</v>
      </c>
    </row>
    <row r="22" spans="1:6" ht="18.75" customHeight="1" x14ac:dyDescent="0.25">
      <c r="B22" s="194"/>
      <c r="C22" s="74">
        <v>3665</v>
      </c>
      <c r="D22" s="196"/>
      <c r="F22" s="189"/>
    </row>
    <row r="23" spans="1:6" ht="18.75" customHeight="1" x14ac:dyDescent="0.25">
      <c r="B23" s="184" t="s">
        <v>10</v>
      </c>
      <c r="C23" s="82">
        <f>573+241+249</f>
        <v>1063</v>
      </c>
      <c r="D23" s="186">
        <f>SUM(C23)/C24*100</f>
        <v>29.004092769440653</v>
      </c>
      <c r="F23" s="188" t="s">
        <v>44</v>
      </c>
    </row>
    <row r="24" spans="1:6" ht="18.75" customHeight="1" x14ac:dyDescent="0.25">
      <c r="B24" s="185"/>
      <c r="C24" s="82">
        <v>3665</v>
      </c>
      <c r="D24" s="187"/>
      <c r="F24" s="189"/>
    </row>
    <row r="25" spans="1:6" ht="18.75" hidden="1" customHeight="1" x14ac:dyDescent="0.25">
      <c r="A25" s="216"/>
      <c r="B25" s="184" t="s">
        <v>63</v>
      </c>
      <c r="C25" s="82">
        <v>3665</v>
      </c>
      <c r="D25" s="186">
        <f>+C25/C26*100</f>
        <v>100</v>
      </c>
      <c r="F25" s="188" t="s">
        <v>64</v>
      </c>
    </row>
    <row r="26" spans="1:6" ht="18.75" hidden="1" customHeight="1" x14ac:dyDescent="0.25">
      <c r="A26" s="216"/>
      <c r="B26" s="185"/>
      <c r="C26" s="82">
        <v>3665</v>
      </c>
      <c r="D26" s="187"/>
      <c r="F26" s="189"/>
    </row>
    <row r="27" spans="1:6" ht="18.75" hidden="1" customHeight="1" x14ac:dyDescent="0.25">
      <c r="B27" s="184" t="s">
        <v>103</v>
      </c>
      <c r="C27" s="82">
        <v>112</v>
      </c>
      <c r="D27" s="186">
        <f>+C27/C28*100</f>
        <v>3.0559345156889495</v>
      </c>
      <c r="F27" s="188" t="s">
        <v>44</v>
      </c>
    </row>
    <row r="28" spans="1:6" ht="18.75" hidden="1" customHeight="1" x14ac:dyDescent="0.25">
      <c r="B28" s="185"/>
      <c r="C28" s="82">
        <v>3665</v>
      </c>
      <c r="D28" s="187"/>
      <c r="F28" s="189"/>
    </row>
    <row r="29" spans="1:6" ht="30.6" customHeight="1" x14ac:dyDescent="0.25">
      <c r="B29" s="80" t="s">
        <v>11</v>
      </c>
      <c r="C29" s="80" t="s">
        <v>2</v>
      </c>
      <c r="D29" s="80" t="s">
        <v>3</v>
      </c>
      <c r="F29" s="81" t="s">
        <v>43</v>
      </c>
    </row>
    <row r="30" spans="1:6" ht="18.75" customHeight="1" x14ac:dyDescent="0.25">
      <c r="B30" s="193" t="s">
        <v>12</v>
      </c>
      <c r="C30" s="74">
        <v>5921</v>
      </c>
      <c r="D30" s="214">
        <f>SUM(C30)/C31</f>
        <v>25.195744680851064</v>
      </c>
      <c r="F30" s="188" t="s">
        <v>45</v>
      </c>
    </row>
    <row r="31" spans="1:6" ht="19.2" customHeight="1" x14ac:dyDescent="0.25">
      <c r="B31" s="194"/>
      <c r="C31" s="74">
        <v>235</v>
      </c>
      <c r="D31" s="215"/>
      <c r="F31" s="189"/>
    </row>
    <row r="32" spans="1:6" ht="19.2" customHeight="1" x14ac:dyDescent="0.25">
      <c r="B32" s="193" t="s">
        <v>13</v>
      </c>
      <c r="C32" s="74">
        <v>209</v>
      </c>
      <c r="D32" s="195">
        <f>SUM(C32)/C33*100</f>
        <v>88.936170212765958</v>
      </c>
      <c r="F32" s="188" t="s">
        <v>45</v>
      </c>
    </row>
    <row r="33" spans="2:6" ht="19.2" customHeight="1" x14ac:dyDescent="0.25">
      <c r="B33" s="194"/>
      <c r="C33" s="74">
        <v>235</v>
      </c>
      <c r="D33" s="196"/>
      <c r="F33" s="189"/>
    </row>
    <row r="34" spans="2:6" ht="19.2" customHeight="1" x14ac:dyDescent="0.25">
      <c r="B34" s="193" t="s">
        <v>14</v>
      </c>
      <c r="C34" s="74">
        <v>235</v>
      </c>
      <c r="D34" s="195">
        <f>SUM(C34)/C35*100</f>
        <v>100</v>
      </c>
      <c r="F34" s="188" t="s">
        <v>45</v>
      </c>
    </row>
    <row r="35" spans="2:6" ht="19.2" customHeight="1" x14ac:dyDescent="0.25">
      <c r="B35" s="194"/>
      <c r="C35" s="74">
        <v>235</v>
      </c>
      <c r="D35" s="196"/>
      <c r="F35" s="189"/>
    </row>
    <row r="36" spans="2:6" ht="19.2" customHeight="1" x14ac:dyDescent="0.25">
      <c r="B36" s="193" t="s">
        <v>15</v>
      </c>
      <c r="C36" s="74">
        <v>99</v>
      </c>
      <c r="D36" s="195">
        <f>SUM(C36)/C37*100</f>
        <v>42.127659574468083</v>
      </c>
      <c r="F36" s="188" t="s">
        <v>45</v>
      </c>
    </row>
    <row r="37" spans="2:6" ht="19.2" customHeight="1" x14ac:dyDescent="0.25">
      <c r="B37" s="194"/>
      <c r="C37" s="74">
        <v>235</v>
      </c>
      <c r="D37" s="196"/>
      <c r="F37" s="189"/>
    </row>
    <row r="38" spans="2:6" ht="19.2" customHeight="1" x14ac:dyDescent="0.25">
      <c r="B38" s="184" t="s">
        <v>16</v>
      </c>
      <c r="C38" s="82">
        <v>165</v>
      </c>
      <c r="D38" s="186">
        <f>SUM(C38)/C39*100</f>
        <v>70.212765957446805</v>
      </c>
      <c r="F38" s="188" t="s">
        <v>45</v>
      </c>
    </row>
    <row r="39" spans="2:6" ht="19.2" customHeight="1" x14ac:dyDescent="0.25">
      <c r="B39" s="185"/>
      <c r="C39" s="82">
        <v>235</v>
      </c>
      <c r="D39" s="187"/>
      <c r="F39" s="189"/>
    </row>
    <row r="40" spans="2:6" ht="19.2" customHeight="1" x14ac:dyDescent="0.25">
      <c r="B40" s="208" t="s">
        <v>17</v>
      </c>
      <c r="C40" s="82">
        <v>235</v>
      </c>
      <c r="D40" s="210">
        <f>+C40/C41*100</f>
        <v>100</v>
      </c>
      <c r="F40" s="188" t="s">
        <v>45</v>
      </c>
    </row>
    <row r="41" spans="2:6" ht="19.2" customHeight="1" x14ac:dyDescent="0.25">
      <c r="B41" s="209"/>
      <c r="C41" s="82">
        <v>235</v>
      </c>
      <c r="D41" s="211"/>
      <c r="F41" s="189"/>
    </row>
    <row r="42" spans="2:6" ht="30.6" customHeight="1" x14ac:dyDescent="0.25">
      <c r="B42" s="80" t="s">
        <v>18</v>
      </c>
      <c r="C42" s="80" t="s">
        <v>2</v>
      </c>
      <c r="D42" s="80" t="s">
        <v>3</v>
      </c>
      <c r="F42" s="81" t="s">
        <v>43</v>
      </c>
    </row>
    <row r="43" spans="2:6" ht="18.75" customHeight="1" x14ac:dyDescent="0.25">
      <c r="B43" s="193" t="s">
        <v>19</v>
      </c>
      <c r="C43" s="83"/>
      <c r="D43" s="212" t="s">
        <v>20</v>
      </c>
      <c r="F43" s="212"/>
    </row>
    <row r="44" spans="2:6" ht="18.75" customHeight="1" x14ac:dyDescent="0.25">
      <c r="B44" s="194"/>
      <c r="C44" s="83"/>
      <c r="D44" s="213"/>
      <c r="F44" s="213"/>
    </row>
    <row r="45" spans="2:6" ht="18.75" customHeight="1" x14ac:dyDescent="0.25">
      <c r="B45" s="184" t="s">
        <v>21</v>
      </c>
      <c r="C45" s="82">
        <v>975</v>
      </c>
      <c r="D45" s="195">
        <f>SUM(C45)/C46*100</f>
        <v>16.466813038338117</v>
      </c>
      <c r="F45" s="188" t="s">
        <v>46</v>
      </c>
    </row>
    <row r="46" spans="2:6" ht="18.75" customHeight="1" x14ac:dyDescent="0.25">
      <c r="B46" s="185"/>
      <c r="C46" s="82">
        <v>5921</v>
      </c>
      <c r="D46" s="196"/>
      <c r="F46" s="189"/>
    </row>
    <row r="47" spans="2:6" ht="18.75" customHeight="1" x14ac:dyDescent="0.25">
      <c r="B47" s="184" t="s">
        <v>22</v>
      </c>
      <c r="C47" s="82">
        <v>593</v>
      </c>
      <c r="D47" s="195">
        <f>SUM(C47)/C48*100</f>
        <v>10.015200135112313</v>
      </c>
      <c r="F47" s="188" t="s">
        <v>46</v>
      </c>
    </row>
    <row r="48" spans="2:6" ht="18.75" customHeight="1" x14ac:dyDescent="0.25">
      <c r="B48" s="185"/>
      <c r="C48" s="82">
        <v>5921</v>
      </c>
      <c r="D48" s="196"/>
      <c r="F48" s="189"/>
    </row>
    <row r="49" spans="2:8" ht="18.75" customHeight="1" x14ac:dyDescent="0.25">
      <c r="B49" s="184" t="s">
        <v>23</v>
      </c>
      <c r="C49" s="82">
        <f>32+126+32</f>
        <v>190</v>
      </c>
      <c r="D49" s="186">
        <f>SUM(C49)/C50*100</f>
        <v>5.1841746248294678</v>
      </c>
      <c r="F49" s="188" t="s">
        <v>56</v>
      </c>
    </row>
    <row r="50" spans="2:8" ht="18.75" customHeight="1" x14ac:dyDescent="0.25">
      <c r="B50" s="185"/>
      <c r="C50" s="82">
        <v>3665</v>
      </c>
      <c r="D50" s="187"/>
      <c r="F50" s="189"/>
    </row>
    <row r="51" spans="2:8" ht="18.75" customHeight="1" x14ac:dyDescent="0.25">
      <c r="B51" s="184" t="s">
        <v>24</v>
      </c>
      <c r="C51" s="82">
        <f>32+126+32</f>
        <v>190</v>
      </c>
      <c r="D51" s="186">
        <f>SUM(C51)/C52*100</f>
        <v>5.1841746248294678</v>
      </c>
      <c r="F51" s="188" t="s">
        <v>56</v>
      </c>
    </row>
    <row r="52" spans="2:8" ht="18.75" customHeight="1" x14ac:dyDescent="0.25">
      <c r="B52" s="185"/>
      <c r="C52" s="82">
        <v>3665</v>
      </c>
      <c r="D52" s="187"/>
      <c r="F52" s="189"/>
    </row>
    <row r="53" spans="2:8" ht="18.75" customHeight="1" x14ac:dyDescent="0.25">
      <c r="B53" s="184" t="s">
        <v>25</v>
      </c>
      <c r="C53" s="82">
        <f>10+4+123</f>
        <v>137</v>
      </c>
      <c r="D53" s="186">
        <f>SUM(C53)/C54*100</f>
        <v>13.618290258449303</v>
      </c>
      <c r="F53" s="188" t="s">
        <v>47</v>
      </c>
    </row>
    <row r="54" spans="2:8" ht="18.75" customHeight="1" x14ac:dyDescent="0.25">
      <c r="B54" s="185"/>
      <c r="C54" s="82">
        <f>17+7+982</f>
        <v>1006</v>
      </c>
      <c r="D54" s="187"/>
      <c r="F54" s="189"/>
    </row>
    <row r="55" spans="2:8" ht="18.75" customHeight="1" x14ac:dyDescent="0.25">
      <c r="B55" s="184" t="s">
        <v>26</v>
      </c>
      <c r="C55" s="82">
        <v>67</v>
      </c>
      <c r="D55" s="186">
        <f>SUM(C55)/C56*100</f>
        <v>100</v>
      </c>
      <c r="F55" s="188" t="s">
        <v>48</v>
      </c>
      <c r="H55" s="205"/>
    </row>
    <row r="56" spans="2:8" ht="18.75" customHeight="1" x14ac:dyDescent="0.25">
      <c r="B56" s="185"/>
      <c r="C56" s="82">
        <v>67</v>
      </c>
      <c r="D56" s="187"/>
      <c r="F56" s="189"/>
      <c r="H56" s="205"/>
    </row>
    <row r="57" spans="2:8" ht="30.6" customHeight="1" x14ac:dyDescent="0.25">
      <c r="B57" s="80" t="s">
        <v>27</v>
      </c>
      <c r="C57" s="80" t="s">
        <v>2</v>
      </c>
      <c r="D57" s="80" t="s">
        <v>3</v>
      </c>
      <c r="F57" s="81" t="s">
        <v>43</v>
      </c>
    </row>
    <row r="58" spans="2:8" ht="18.75" customHeight="1" x14ac:dyDescent="0.25">
      <c r="B58" s="184" t="s">
        <v>28</v>
      </c>
      <c r="C58" s="84">
        <v>159</v>
      </c>
      <c r="D58" s="203">
        <f>SUM(C58)/C59*100</f>
        <v>5.0653074227460975</v>
      </c>
      <c r="F58" s="188" t="s">
        <v>49</v>
      </c>
    </row>
    <row r="59" spans="2:8" ht="18.75" customHeight="1" x14ac:dyDescent="0.25">
      <c r="B59" s="185"/>
      <c r="C59" s="85">
        <v>3139</v>
      </c>
      <c r="D59" s="204"/>
      <c r="F59" s="189"/>
    </row>
    <row r="60" spans="2:8" ht="18.75" customHeight="1" x14ac:dyDescent="0.25">
      <c r="B60" s="184" t="s">
        <v>29</v>
      </c>
      <c r="C60" s="85">
        <v>54</v>
      </c>
      <c r="D60" s="206">
        <f>SUM(C60)/C61*100</f>
        <v>60.674157303370791</v>
      </c>
      <c r="F60" s="188" t="s">
        <v>49</v>
      </c>
    </row>
    <row r="61" spans="2:8" ht="18.75" customHeight="1" x14ac:dyDescent="0.25">
      <c r="B61" s="185"/>
      <c r="C61" s="85">
        <v>89</v>
      </c>
      <c r="D61" s="207"/>
      <c r="F61" s="189"/>
    </row>
    <row r="62" spans="2:8" ht="18.75" customHeight="1" x14ac:dyDescent="0.25">
      <c r="B62" s="184" t="s">
        <v>30</v>
      </c>
      <c r="C62" s="85">
        <v>2</v>
      </c>
      <c r="D62" s="203">
        <f>SUM(C62)/C63*100</f>
        <v>2.2471910112359552</v>
      </c>
      <c r="F62" s="188" t="s">
        <v>49</v>
      </c>
    </row>
    <row r="63" spans="2:8" ht="18.75" customHeight="1" x14ac:dyDescent="0.25">
      <c r="B63" s="185"/>
      <c r="C63" s="85">
        <v>89</v>
      </c>
      <c r="D63" s="204"/>
      <c r="F63" s="189"/>
    </row>
    <row r="64" spans="2:8" ht="18.75" customHeight="1" x14ac:dyDescent="0.25">
      <c r="B64" s="184" t="s">
        <v>31</v>
      </c>
      <c r="C64" s="85">
        <v>209159.6</v>
      </c>
      <c r="D64" s="203">
        <f>SUM(C64)/C65*100</f>
        <v>0.44583729022767304</v>
      </c>
      <c r="F64" s="188" t="s">
        <v>49</v>
      </c>
    </row>
    <row r="65" spans="2:8" ht="18.75" customHeight="1" x14ac:dyDescent="0.25">
      <c r="B65" s="185"/>
      <c r="C65" s="85">
        <v>46913886.43</v>
      </c>
      <c r="D65" s="204"/>
      <c r="F65" s="189"/>
    </row>
    <row r="66" spans="2:8" ht="30.6" customHeight="1" x14ac:dyDescent="0.25">
      <c r="B66" s="80" t="s">
        <v>32</v>
      </c>
      <c r="C66" s="80" t="s">
        <v>2</v>
      </c>
      <c r="D66" s="80" t="s">
        <v>3</v>
      </c>
      <c r="F66" s="81" t="s">
        <v>43</v>
      </c>
    </row>
    <row r="67" spans="2:8" ht="18.75" customHeight="1" x14ac:dyDescent="0.25">
      <c r="B67" s="184" t="s">
        <v>33</v>
      </c>
      <c r="C67" s="82">
        <v>1986</v>
      </c>
      <c r="D67" s="200">
        <f>+C67/C68*100</f>
        <v>13.725896744764668</v>
      </c>
      <c r="F67" s="188" t="s">
        <v>147</v>
      </c>
    </row>
    <row r="68" spans="2:8" ht="18.75" customHeight="1" x14ac:dyDescent="0.25">
      <c r="B68" s="185"/>
      <c r="C68" s="82">
        <v>14469</v>
      </c>
      <c r="D68" s="201"/>
      <c r="F68" s="189"/>
    </row>
    <row r="69" spans="2:8" ht="18.75" customHeight="1" x14ac:dyDescent="0.25">
      <c r="B69" s="184" t="s">
        <v>34</v>
      </c>
      <c r="C69" s="86">
        <v>65</v>
      </c>
      <c r="D69" s="186">
        <f>SUM(C69)/C70*100</f>
        <v>78.313253012048193</v>
      </c>
      <c r="F69" s="87" t="s">
        <v>136</v>
      </c>
      <c r="H69" s="202"/>
    </row>
    <row r="70" spans="2:8" ht="18.75" customHeight="1" x14ac:dyDescent="0.25">
      <c r="B70" s="185"/>
      <c r="C70" s="86">
        <v>83</v>
      </c>
      <c r="D70" s="187"/>
      <c r="F70" s="88" t="s">
        <v>50</v>
      </c>
      <c r="H70" s="202"/>
    </row>
    <row r="71" spans="2:8" ht="18.75" customHeight="1" x14ac:dyDescent="0.25">
      <c r="B71" s="184" t="s">
        <v>35</v>
      </c>
      <c r="C71" s="86">
        <v>10638</v>
      </c>
      <c r="D71" s="186">
        <f>SUM(C71)/C72</f>
        <v>2.9025920873124149</v>
      </c>
      <c r="F71" s="197" t="s">
        <v>51</v>
      </c>
    </row>
    <row r="72" spans="2:8" ht="18.75" customHeight="1" x14ac:dyDescent="0.25">
      <c r="B72" s="185"/>
      <c r="C72" s="86">
        <v>3665</v>
      </c>
      <c r="D72" s="187"/>
      <c r="F72" s="197"/>
    </row>
    <row r="73" spans="2:8" ht="18.75" customHeight="1" x14ac:dyDescent="0.25">
      <c r="B73" s="184" t="s">
        <v>36</v>
      </c>
      <c r="C73" s="86">
        <v>3665</v>
      </c>
      <c r="D73" s="191">
        <f>SUM(C73)/C74</f>
        <v>11.311728395061728</v>
      </c>
      <c r="F73" s="198" t="s">
        <v>52</v>
      </c>
    </row>
    <row r="74" spans="2:8" ht="18.75" customHeight="1" x14ac:dyDescent="0.25">
      <c r="B74" s="185"/>
      <c r="C74" s="86">
        <v>324</v>
      </c>
      <c r="D74" s="192"/>
      <c r="F74" s="199"/>
    </row>
    <row r="75" spans="2:8" ht="18.75" customHeight="1" x14ac:dyDescent="0.25">
      <c r="B75" s="184" t="s">
        <v>37</v>
      </c>
      <c r="C75" s="82">
        <v>5921</v>
      </c>
      <c r="D75" s="191">
        <f>SUM(C75)/C76</f>
        <v>38.448051948051948</v>
      </c>
      <c r="F75" s="188" t="s">
        <v>45</v>
      </c>
    </row>
    <row r="76" spans="2:8" ht="18.75" customHeight="1" x14ac:dyDescent="0.25">
      <c r="B76" s="185"/>
      <c r="C76" s="82">
        <v>154</v>
      </c>
      <c r="D76" s="192"/>
      <c r="F76" s="189"/>
    </row>
    <row r="77" spans="2:8" ht="18.75" customHeight="1" x14ac:dyDescent="0.25">
      <c r="B77" s="193" t="s">
        <v>38</v>
      </c>
      <c r="C77" s="74">
        <v>149</v>
      </c>
      <c r="D77" s="195">
        <f>SUM(C77)/C78*100</f>
        <v>96.753246753246756</v>
      </c>
      <c r="F77" s="188" t="s">
        <v>45</v>
      </c>
    </row>
    <row r="78" spans="2:8" ht="18.75" customHeight="1" x14ac:dyDescent="0.25">
      <c r="B78" s="194"/>
      <c r="C78" s="74">
        <v>154</v>
      </c>
      <c r="D78" s="196"/>
      <c r="F78" s="189"/>
    </row>
    <row r="79" spans="2:8" ht="18.75" customHeight="1" x14ac:dyDescent="0.25">
      <c r="B79" s="184" t="s">
        <v>39</v>
      </c>
      <c r="C79" s="89">
        <v>111127032.84</v>
      </c>
      <c r="D79" s="186">
        <f>SUM(C79)/C80/1000</f>
        <v>37.901443669849932</v>
      </c>
      <c r="F79" s="188" t="s">
        <v>53</v>
      </c>
      <c r="G79" s="90"/>
    </row>
    <row r="80" spans="2:8" ht="18.75" customHeight="1" x14ac:dyDescent="0.25">
      <c r="B80" s="185"/>
      <c r="C80" s="86">
        <v>2932</v>
      </c>
      <c r="D80" s="187"/>
      <c r="F80" s="189"/>
    </row>
    <row r="81" spans="2:6" x14ac:dyDescent="0.25">
      <c r="B81" s="78"/>
      <c r="C81" s="78"/>
      <c r="D81" s="78"/>
      <c r="F81" s="91"/>
    </row>
    <row r="82" spans="2:6" ht="109.2" customHeight="1" x14ac:dyDescent="0.25">
      <c r="B82" s="92" t="s">
        <v>61</v>
      </c>
    </row>
    <row r="83" spans="2:6" x14ac:dyDescent="0.25">
      <c r="B83" s="93" t="s">
        <v>60</v>
      </c>
      <c r="C83" s="190"/>
      <c r="D83" s="190"/>
    </row>
  </sheetData>
  <mergeCells count="108">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A25:A26"/>
    <mergeCell ref="B25:B26"/>
    <mergeCell ref="D25:D26"/>
    <mergeCell ref="F25:F26"/>
    <mergeCell ref="B19:B20"/>
    <mergeCell ref="D19:D20"/>
    <mergeCell ref="F19:F20"/>
    <mergeCell ref="B21:B22"/>
    <mergeCell ref="D21:D22"/>
    <mergeCell ref="F21:F22"/>
    <mergeCell ref="B27:B28"/>
    <mergeCell ref="D27:D28"/>
    <mergeCell ref="F27:F28"/>
    <mergeCell ref="B30:B31"/>
    <mergeCell ref="D30:D31"/>
    <mergeCell ref="F30:F31"/>
    <mergeCell ref="B23:B24"/>
    <mergeCell ref="D23:D24"/>
    <mergeCell ref="F23:F24"/>
    <mergeCell ref="B36:B37"/>
    <mergeCell ref="D36:D37"/>
    <mergeCell ref="F36:F37"/>
    <mergeCell ref="B38:B39"/>
    <mergeCell ref="D38:D39"/>
    <mergeCell ref="F38:F39"/>
    <mergeCell ref="B32:B33"/>
    <mergeCell ref="D32:D33"/>
    <mergeCell ref="F32:F33"/>
    <mergeCell ref="B34:B35"/>
    <mergeCell ref="D34:D35"/>
    <mergeCell ref="F34:F35"/>
    <mergeCell ref="B45:B46"/>
    <mergeCell ref="D45:D46"/>
    <mergeCell ref="F45:F46"/>
    <mergeCell ref="B47:B48"/>
    <mergeCell ref="D47:D48"/>
    <mergeCell ref="F47:F48"/>
    <mergeCell ref="B40:B41"/>
    <mergeCell ref="D40:D41"/>
    <mergeCell ref="F40:F41"/>
    <mergeCell ref="B43:B44"/>
    <mergeCell ref="D43:D44"/>
    <mergeCell ref="F43:F44"/>
    <mergeCell ref="B53:B54"/>
    <mergeCell ref="D53:D54"/>
    <mergeCell ref="F53:F54"/>
    <mergeCell ref="B55:B56"/>
    <mergeCell ref="D55:D56"/>
    <mergeCell ref="F55:F56"/>
    <mergeCell ref="B49:B50"/>
    <mergeCell ref="D49:D50"/>
    <mergeCell ref="F49:F50"/>
    <mergeCell ref="B51:B52"/>
    <mergeCell ref="D51:D52"/>
    <mergeCell ref="F51:F52"/>
    <mergeCell ref="H69:H70"/>
    <mergeCell ref="B62:B63"/>
    <mergeCell ref="D62:D63"/>
    <mergeCell ref="F62:F63"/>
    <mergeCell ref="B64:B65"/>
    <mergeCell ref="D64:D65"/>
    <mergeCell ref="F64:F65"/>
    <mergeCell ref="H55:H56"/>
    <mergeCell ref="B58:B59"/>
    <mergeCell ref="D58:D59"/>
    <mergeCell ref="F58:F59"/>
    <mergeCell ref="B60:B61"/>
    <mergeCell ref="D60:D61"/>
    <mergeCell ref="F60:F61"/>
    <mergeCell ref="B71:B72"/>
    <mergeCell ref="D71:D72"/>
    <mergeCell ref="F71:F72"/>
    <mergeCell ref="B73:B74"/>
    <mergeCell ref="D73:D74"/>
    <mergeCell ref="F73:F74"/>
    <mergeCell ref="B67:B68"/>
    <mergeCell ref="D67:D68"/>
    <mergeCell ref="F67:F68"/>
    <mergeCell ref="B69:B70"/>
    <mergeCell ref="D69:D70"/>
    <mergeCell ref="B79:B80"/>
    <mergeCell ref="D79:D80"/>
    <mergeCell ref="F79:F80"/>
    <mergeCell ref="C83:D83"/>
    <mergeCell ref="B75:B76"/>
    <mergeCell ref="D75:D76"/>
    <mergeCell ref="F75:F76"/>
    <mergeCell ref="B77:B78"/>
    <mergeCell ref="D77:D78"/>
    <mergeCell ref="F77:F78"/>
  </mergeCells>
  <printOptions horizontalCentered="1" verticalCentered="1"/>
  <pageMargins left="0.39370078740157483" right="0.39370078740157483" top="0.39370078740157483" bottom="0.39370078740157483" header="0.31496062992125984" footer="0.31496062992125984"/>
  <pageSetup scale="46" orientation="portrait" horizontalDpi="4294967295" verticalDpi="4294967295"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4:H83"/>
  <sheetViews>
    <sheetView topLeftCell="A44" zoomScale="80" zoomScaleNormal="80" zoomScaleSheetLayoutView="75" workbookViewId="0">
      <selection activeCell="D75" sqref="D75:D76"/>
    </sheetView>
  </sheetViews>
  <sheetFormatPr baseColWidth="10" defaultColWidth="11.5546875" defaultRowHeight="13.2" x14ac:dyDescent="0.25"/>
  <cols>
    <col min="1" max="1" width="2.88671875" style="1" customWidth="1"/>
    <col min="2" max="2" width="77.6640625" style="1" customWidth="1"/>
    <col min="3" max="3" width="15.88671875" style="1" customWidth="1"/>
    <col min="4" max="4" width="14.6640625" style="1" customWidth="1"/>
    <col min="5" max="5" width="3.6640625" style="79" customWidth="1"/>
    <col min="6" max="6" width="24.33203125" style="1" customWidth="1"/>
    <col min="7" max="7" width="2.6640625" style="1" customWidth="1"/>
    <col min="8" max="8" width="58.6640625" style="1" customWidth="1"/>
    <col min="9" max="16384" width="11.5546875" style="1"/>
  </cols>
  <sheetData>
    <row r="4" spans="2:6" ht="17.399999999999999" x14ac:dyDescent="0.25">
      <c r="B4" s="77"/>
      <c r="C4" s="78"/>
      <c r="D4" s="78"/>
      <c r="F4" s="78"/>
    </row>
    <row r="5" spans="2:6" ht="42" customHeight="1" x14ac:dyDescent="0.25">
      <c r="B5" s="217" t="s">
        <v>146</v>
      </c>
      <c r="C5" s="217"/>
      <c r="D5" s="217"/>
    </row>
    <row r="6" spans="2:6" ht="17.399999999999999" x14ac:dyDescent="0.25">
      <c r="B6" s="218" t="s">
        <v>0</v>
      </c>
      <c r="C6" s="219"/>
      <c r="D6" s="220"/>
    </row>
    <row r="7" spans="2:6" ht="36" customHeight="1" x14ac:dyDescent="0.25">
      <c r="B7" s="221" t="s">
        <v>41</v>
      </c>
      <c r="C7" s="221"/>
      <c r="D7" s="221"/>
    </row>
    <row r="8" spans="2:6" ht="35.4" customHeight="1" x14ac:dyDescent="0.25">
      <c r="B8" s="80" t="s">
        <v>1</v>
      </c>
      <c r="C8" s="80" t="s">
        <v>2</v>
      </c>
      <c r="D8" s="80" t="s">
        <v>3</v>
      </c>
      <c r="F8" s="81" t="s">
        <v>43</v>
      </c>
    </row>
    <row r="9" spans="2:6" ht="18.75" customHeight="1" x14ac:dyDescent="0.25">
      <c r="B9" s="184" t="s">
        <v>54</v>
      </c>
      <c r="C9" s="82">
        <v>1166</v>
      </c>
      <c r="D9" s="186">
        <f>SUM(C9)/C10*100</f>
        <v>96.763485477178421</v>
      </c>
      <c r="F9" s="195" t="s">
        <v>44</v>
      </c>
    </row>
    <row r="10" spans="2:6" ht="18.75" customHeight="1" x14ac:dyDescent="0.25">
      <c r="B10" s="185"/>
      <c r="C10" s="82">
        <v>1205</v>
      </c>
      <c r="D10" s="187"/>
      <c r="F10" s="196"/>
    </row>
    <row r="11" spans="2:6" ht="18.75" customHeight="1" x14ac:dyDescent="0.25">
      <c r="B11" s="184" t="s">
        <v>4</v>
      </c>
      <c r="C11" s="82">
        <f>0+0+1</f>
        <v>1</v>
      </c>
      <c r="D11" s="186">
        <f>SUM(C11)/C12*100</f>
        <v>4.4326241134751775E-2</v>
      </c>
      <c r="F11" s="195" t="s">
        <v>44</v>
      </c>
    </row>
    <row r="12" spans="2:6" ht="18.75" customHeight="1" x14ac:dyDescent="0.25">
      <c r="B12" s="185"/>
      <c r="C12" s="82">
        <v>2256</v>
      </c>
      <c r="D12" s="187"/>
      <c r="F12" s="196"/>
    </row>
    <row r="13" spans="2:6" ht="18.75" customHeight="1" x14ac:dyDescent="0.25">
      <c r="B13" s="184" t="s">
        <v>5</v>
      </c>
      <c r="C13" s="82">
        <f>467+209+86</f>
        <v>762</v>
      </c>
      <c r="D13" s="186">
        <f>SUM(C13)/C14*100</f>
        <v>2.7355950457727518</v>
      </c>
      <c r="F13" s="195" t="s">
        <v>44</v>
      </c>
    </row>
    <row r="14" spans="2:6" ht="18.75" customHeight="1" x14ac:dyDescent="0.25">
      <c r="B14" s="185"/>
      <c r="C14" s="82">
        <f>14095+7408+6352</f>
        <v>27855</v>
      </c>
      <c r="D14" s="187"/>
      <c r="F14" s="196"/>
    </row>
    <row r="15" spans="2:6" ht="18.75" customHeight="1" x14ac:dyDescent="0.25">
      <c r="B15" s="184" t="s">
        <v>6</v>
      </c>
      <c r="C15" s="82">
        <v>967</v>
      </c>
      <c r="D15" s="186">
        <f>SUM(C15)/C16*100</f>
        <v>85.803016858917474</v>
      </c>
      <c r="F15" s="195" t="s">
        <v>44</v>
      </c>
    </row>
    <row r="16" spans="2:6" ht="18.75" customHeight="1" x14ac:dyDescent="0.25">
      <c r="B16" s="185"/>
      <c r="C16" s="82">
        <v>1127</v>
      </c>
      <c r="D16" s="187"/>
      <c r="F16" s="196"/>
    </row>
    <row r="17" spans="1:6" ht="18.75" customHeight="1" x14ac:dyDescent="0.25">
      <c r="B17" s="184" t="s">
        <v>7</v>
      </c>
      <c r="C17" s="82">
        <f>5+985+24</f>
        <v>1014</v>
      </c>
      <c r="D17" s="186">
        <f>SUM(C17)/C18*100</f>
        <v>100</v>
      </c>
      <c r="F17" s="195" t="s">
        <v>44</v>
      </c>
    </row>
    <row r="18" spans="1:6" ht="18.75" customHeight="1" x14ac:dyDescent="0.25">
      <c r="B18" s="185"/>
      <c r="C18" s="82">
        <f>5+985+24</f>
        <v>1014</v>
      </c>
      <c r="D18" s="187"/>
      <c r="F18" s="196"/>
    </row>
    <row r="19" spans="1:6" ht="18.75" customHeight="1" x14ac:dyDescent="0.25">
      <c r="B19" s="184" t="s">
        <v>8</v>
      </c>
      <c r="C19" s="82">
        <f>5+985+24</f>
        <v>1014</v>
      </c>
      <c r="D19" s="186">
        <f>SUM(C19)/C20*100</f>
        <v>93.715341959334566</v>
      </c>
      <c r="F19" s="195" t="s">
        <v>44</v>
      </c>
    </row>
    <row r="20" spans="1:6" ht="18.75" customHeight="1" x14ac:dyDescent="0.25">
      <c r="B20" s="185"/>
      <c r="C20" s="82">
        <f>10+1047+25</f>
        <v>1082</v>
      </c>
      <c r="D20" s="187"/>
      <c r="F20" s="196"/>
    </row>
    <row r="21" spans="1:6" ht="18.75" customHeight="1" x14ac:dyDescent="0.25">
      <c r="B21" s="184" t="s">
        <v>9</v>
      </c>
      <c r="C21" s="82">
        <f>1864+12+15</f>
        <v>1891</v>
      </c>
      <c r="D21" s="186">
        <f>SUM(C21)/C22*100</f>
        <v>83.820921985815602</v>
      </c>
      <c r="F21" s="195" t="s">
        <v>44</v>
      </c>
    </row>
    <row r="22" spans="1:6" ht="18.75" customHeight="1" x14ac:dyDescent="0.25">
      <c r="B22" s="185"/>
      <c r="C22" s="82">
        <v>2256</v>
      </c>
      <c r="D22" s="187"/>
      <c r="F22" s="196"/>
    </row>
    <row r="23" spans="1:6" ht="18.75" customHeight="1" x14ac:dyDescent="0.25">
      <c r="B23" s="184" t="s">
        <v>10</v>
      </c>
      <c r="C23" s="82">
        <f>128+109+21</f>
        <v>258</v>
      </c>
      <c r="D23" s="186">
        <f>SUM(C23)/C24*100</f>
        <v>11.436170212765957</v>
      </c>
      <c r="F23" s="195" t="s">
        <v>44</v>
      </c>
    </row>
    <row r="24" spans="1:6" ht="18.75" customHeight="1" x14ac:dyDescent="0.25">
      <c r="B24" s="185"/>
      <c r="C24" s="82">
        <v>2256</v>
      </c>
      <c r="D24" s="187"/>
      <c r="F24" s="196"/>
    </row>
    <row r="25" spans="1:6" ht="18.75" hidden="1" customHeight="1" x14ac:dyDescent="0.25">
      <c r="A25" s="216"/>
      <c r="B25" s="184" t="s">
        <v>63</v>
      </c>
      <c r="C25" s="82">
        <v>2256</v>
      </c>
      <c r="D25" s="186">
        <f>+C25/C26*100</f>
        <v>100</v>
      </c>
      <c r="F25" s="195" t="s">
        <v>64</v>
      </c>
    </row>
    <row r="26" spans="1:6" ht="18.75" hidden="1" customHeight="1" x14ac:dyDescent="0.25">
      <c r="A26" s="216"/>
      <c r="B26" s="185"/>
      <c r="C26" s="82">
        <v>2256</v>
      </c>
      <c r="D26" s="187"/>
      <c r="F26" s="196"/>
    </row>
    <row r="27" spans="1:6" ht="18.75" hidden="1" customHeight="1" x14ac:dyDescent="0.25">
      <c r="B27" s="184" t="s">
        <v>103</v>
      </c>
      <c r="C27" s="82">
        <v>150</v>
      </c>
      <c r="D27" s="186">
        <f>+C27/C28*100</f>
        <v>6.6489361702127656</v>
      </c>
      <c r="F27" s="195" t="s">
        <v>44</v>
      </c>
    </row>
    <row r="28" spans="1:6" ht="18.75" hidden="1" customHeight="1" x14ac:dyDescent="0.25">
      <c r="B28" s="185"/>
      <c r="C28" s="82">
        <v>2256</v>
      </c>
      <c r="D28" s="187"/>
      <c r="F28" s="196"/>
    </row>
    <row r="29" spans="1:6" ht="35.4" customHeight="1" x14ac:dyDescent="0.25">
      <c r="B29" s="80" t="s">
        <v>11</v>
      </c>
      <c r="C29" s="80" t="s">
        <v>2</v>
      </c>
      <c r="D29" s="80" t="s">
        <v>3</v>
      </c>
      <c r="F29" s="81" t="s">
        <v>43</v>
      </c>
    </row>
    <row r="30" spans="1:6" ht="18.75" customHeight="1" x14ac:dyDescent="0.25">
      <c r="B30" s="184" t="s">
        <v>12</v>
      </c>
      <c r="C30" s="82">
        <v>5921</v>
      </c>
      <c r="D30" s="191">
        <f>SUM(C30)/C31</f>
        <v>25.195744680851064</v>
      </c>
      <c r="F30" s="188" t="s">
        <v>45</v>
      </c>
    </row>
    <row r="31" spans="1:6" ht="18.75" customHeight="1" x14ac:dyDescent="0.25">
      <c r="B31" s="185"/>
      <c r="C31" s="82">
        <v>235</v>
      </c>
      <c r="D31" s="192"/>
      <c r="F31" s="189"/>
    </row>
    <row r="32" spans="1:6" ht="18.75" customHeight="1" x14ac:dyDescent="0.25">
      <c r="B32" s="184" t="s">
        <v>13</v>
      </c>
      <c r="C32" s="82">
        <v>209</v>
      </c>
      <c r="D32" s="186">
        <f>SUM(C32)/C33*100</f>
        <v>88.936170212765958</v>
      </c>
      <c r="F32" s="188" t="s">
        <v>45</v>
      </c>
    </row>
    <row r="33" spans="2:6" ht="18.75" customHeight="1" x14ac:dyDescent="0.25">
      <c r="B33" s="185"/>
      <c r="C33" s="82">
        <v>235</v>
      </c>
      <c r="D33" s="187"/>
      <c r="F33" s="189"/>
    </row>
    <row r="34" spans="2:6" ht="18.75" customHeight="1" x14ac:dyDescent="0.25">
      <c r="B34" s="184" t="s">
        <v>14</v>
      </c>
      <c r="C34" s="82">
        <v>235</v>
      </c>
      <c r="D34" s="186">
        <f>SUM(C34)/C35*100</f>
        <v>100</v>
      </c>
      <c r="F34" s="188" t="s">
        <v>45</v>
      </c>
    </row>
    <row r="35" spans="2:6" ht="18.75" customHeight="1" x14ac:dyDescent="0.25">
      <c r="B35" s="185"/>
      <c r="C35" s="82">
        <v>235</v>
      </c>
      <c r="D35" s="187"/>
      <c r="F35" s="189"/>
    </row>
    <row r="36" spans="2:6" ht="18.75" customHeight="1" x14ac:dyDescent="0.25">
      <c r="B36" s="193" t="s">
        <v>15</v>
      </c>
      <c r="C36" s="74">
        <v>99</v>
      </c>
      <c r="D36" s="195">
        <f>SUM(C36)/C37*100</f>
        <v>42.127659574468083</v>
      </c>
      <c r="F36" s="188" t="s">
        <v>45</v>
      </c>
    </row>
    <row r="37" spans="2:6" ht="18.75" customHeight="1" x14ac:dyDescent="0.25">
      <c r="B37" s="194"/>
      <c r="C37" s="74">
        <v>235</v>
      </c>
      <c r="D37" s="196"/>
      <c r="F37" s="189"/>
    </row>
    <row r="38" spans="2:6" ht="18.75" customHeight="1" x14ac:dyDescent="0.25">
      <c r="B38" s="184" t="s">
        <v>16</v>
      </c>
      <c r="C38" s="82">
        <v>165</v>
      </c>
      <c r="D38" s="186">
        <f>SUM(C38)/C39*100</f>
        <v>70.212765957446805</v>
      </c>
      <c r="F38" s="188" t="s">
        <v>45</v>
      </c>
    </row>
    <row r="39" spans="2:6" ht="18.75" customHeight="1" x14ac:dyDescent="0.25">
      <c r="B39" s="185"/>
      <c r="C39" s="82">
        <v>235</v>
      </c>
      <c r="D39" s="187"/>
      <c r="F39" s="189"/>
    </row>
    <row r="40" spans="2:6" ht="18.75" customHeight="1" x14ac:dyDescent="0.25">
      <c r="B40" s="208" t="s">
        <v>17</v>
      </c>
      <c r="C40" s="82">
        <v>235</v>
      </c>
      <c r="D40" s="210">
        <f>+C40/C41*100</f>
        <v>100</v>
      </c>
      <c r="F40" s="188" t="s">
        <v>45</v>
      </c>
    </row>
    <row r="41" spans="2:6" ht="18.75" customHeight="1" x14ac:dyDescent="0.25">
      <c r="B41" s="209"/>
      <c r="C41" s="82">
        <v>235</v>
      </c>
      <c r="D41" s="211"/>
      <c r="F41" s="189"/>
    </row>
    <row r="42" spans="2:6" ht="35.4" customHeight="1" x14ac:dyDescent="0.25">
      <c r="B42" s="80" t="s">
        <v>18</v>
      </c>
      <c r="C42" s="80" t="s">
        <v>2</v>
      </c>
      <c r="D42" s="80" t="s">
        <v>3</v>
      </c>
      <c r="F42" s="81" t="s">
        <v>43</v>
      </c>
    </row>
    <row r="43" spans="2:6" ht="19.5" customHeight="1" x14ac:dyDescent="0.25">
      <c r="B43" s="193" t="s">
        <v>19</v>
      </c>
      <c r="C43" s="83"/>
      <c r="D43" s="212" t="s">
        <v>20</v>
      </c>
      <c r="F43" s="212"/>
    </row>
    <row r="44" spans="2:6" ht="19.5" customHeight="1" x14ac:dyDescent="0.25">
      <c r="B44" s="194"/>
      <c r="C44" s="83"/>
      <c r="D44" s="213"/>
      <c r="F44" s="213"/>
    </row>
    <row r="45" spans="2:6" ht="19.5" customHeight="1" x14ac:dyDescent="0.25">
      <c r="B45" s="184" t="s">
        <v>21</v>
      </c>
      <c r="C45" s="82">
        <v>975</v>
      </c>
      <c r="D45" s="186">
        <f>SUM(C45)/C46*100</f>
        <v>16.466813038338117</v>
      </c>
      <c r="F45" s="188" t="s">
        <v>46</v>
      </c>
    </row>
    <row r="46" spans="2:6" ht="19.5" customHeight="1" x14ac:dyDescent="0.25">
      <c r="B46" s="185"/>
      <c r="C46" s="82">
        <v>5921</v>
      </c>
      <c r="D46" s="187"/>
      <c r="F46" s="189"/>
    </row>
    <row r="47" spans="2:6" ht="19.5" customHeight="1" x14ac:dyDescent="0.25">
      <c r="B47" s="184" t="s">
        <v>22</v>
      </c>
      <c r="C47" s="82">
        <v>593</v>
      </c>
      <c r="D47" s="186">
        <f>SUM(C47)/C48*100</f>
        <v>10.015200135112313</v>
      </c>
      <c r="F47" s="188" t="s">
        <v>46</v>
      </c>
    </row>
    <row r="48" spans="2:6" ht="19.5" customHeight="1" x14ac:dyDescent="0.25">
      <c r="B48" s="185"/>
      <c r="C48" s="82">
        <v>5921</v>
      </c>
      <c r="D48" s="187"/>
      <c r="F48" s="189"/>
    </row>
    <row r="49" spans="2:6" ht="19.5" customHeight="1" x14ac:dyDescent="0.25">
      <c r="B49" s="184" t="s">
        <v>23</v>
      </c>
      <c r="C49" s="82">
        <f>19+29</f>
        <v>48</v>
      </c>
      <c r="D49" s="186">
        <f>SUM(C49)/C50*100</f>
        <v>2.1276595744680851</v>
      </c>
      <c r="F49" s="188" t="s">
        <v>56</v>
      </c>
    </row>
    <row r="50" spans="2:6" ht="19.5" customHeight="1" x14ac:dyDescent="0.25">
      <c r="B50" s="185"/>
      <c r="C50" s="82">
        <v>2256</v>
      </c>
      <c r="D50" s="187"/>
      <c r="F50" s="189"/>
    </row>
    <row r="51" spans="2:6" ht="19.5" customHeight="1" x14ac:dyDescent="0.25">
      <c r="B51" s="184" t="s">
        <v>24</v>
      </c>
      <c r="C51" s="82">
        <f>19+29</f>
        <v>48</v>
      </c>
      <c r="D51" s="186">
        <f>SUM(C51)/C52*100</f>
        <v>2.1276595744680851</v>
      </c>
      <c r="F51" s="188" t="s">
        <v>56</v>
      </c>
    </row>
    <row r="52" spans="2:6" ht="19.5" customHeight="1" x14ac:dyDescent="0.25">
      <c r="B52" s="185"/>
      <c r="C52" s="82">
        <v>2256</v>
      </c>
      <c r="D52" s="187"/>
      <c r="F52" s="189"/>
    </row>
    <row r="53" spans="2:6" ht="19.5" customHeight="1" x14ac:dyDescent="0.25">
      <c r="B53" s="184" t="s">
        <v>25</v>
      </c>
      <c r="C53" s="82">
        <f>4+219+117+14</f>
        <v>354</v>
      </c>
      <c r="D53" s="186">
        <f>+C53/C54*100</f>
        <v>35.542168674698793</v>
      </c>
      <c r="F53" s="188" t="s">
        <v>47</v>
      </c>
    </row>
    <row r="54" spans="2:6" ht="19.5" customHeight="1" x14ac:dyDescent="0.25">
      <c r="B54" s="185"/>
      <c r="C54" s="82">
        <f>5+967+24</f>
        <v>996</v>
      </c>
      <c r="D54" s="187"/>
      <c r="F54" s="189"/>
    </row>
    <row r="55" spans="2:6" ht="19.5" customHeight="1" x14ac:dyDescent="0.25">
      <c r="B55" s="184" t="s">
        <v>26</v>
      </c>
      <c r="C55" s="82">
        <v>67</v>
      </c>
      <c r="D55" s="186">
        <f>SUM(C55)/C56*100</f>
        <v>100</v>
      </c>
      <c r="F55" s="188" t="s">
        <v>48</v>
      </c>
    </row>
    <row r="56" spans="2:6" ht="19.5" customHeight="1" x14ac:dyDescent="0.25">
      <c r="B56" s="185"/>
      <c r="C56" s="82">
        <v>67</v>
      </c>
      <c r="D56" s="187"/>
      <c r="F56" s="189"/>
    </row>
    <row r="57" spans="2:6" ht="35.4" customHeight="1" x14ac:dyDescent="0.25">
      <c r="B57" s="80" t="s">
        <v>27</v>
      </c>
      <c r="C57" s="80" t="s">
        <v>2</v>
      </c>
      <c r="D57" s="80" t="s">
        <v>3</v>
      </c>
      <c r="F57" s="81" t="s">
        <v>43</v>
      </c>
    </row>
    <row r="58" spans="2:6" ht="19.5" customHeight="1" x14ac:dyDescent="0.25">
      <c r="B58" s="184" t="s">
        <v>28</v>
      </c>
      <c r="C58" s="84">
        <v>48</v>
      </c>
      <c r="D58" s="206">
        <f>SUM(C58)/C59*100</f>
        <v>2.2398506766215585</v>
      </c>
      <c r="F58" s="188" t="s">
        <v>49</v>
      </c>
    </row>
    <row r="59" spans="2:6" ht="19.5" customHeight="1" x14ac:dyDescent="0.25">
      <c r="B59" s="185"/>
      <c r="C59" s="85">
        <v>2143</v>
      </c>
      <c r="D59" s="207"/>
      <c r="F59" s="189"/>
    </row>
    <row r="60" spans="2:6" ht="19.5" customHeight="1" x14ac:dyDescent="0.25">
      <c r="B60" s="184" t="s">
        <v>29</v>
      </c>
      <c r="C60" s="85">
        <v>68</v>
      </c>
      <c r="D60" s="206">
        <f>SUM(C60)/C61*100</f>
        <v>76.404494382022463</v>
      </c>
      <c r="F60" s="188" t="s">
        <v>49</v>
      </c>
    </row>
    <row r="61" spans="2:6" ht="19.5" customHeight="1" x14ac:dyDescent="0.25">
      <c r="B61" s="185"/>
      <c r="C61" s="85">
        <v>89</v>
      </c>
      <c r="D61" s="207"/>
      <c r="F61" s="189"/>
    </row>
    <row r="62" spans="2:6" ht="19.5" customHeight="1" x14ac:dyDescent="0.25">
      <c r="B62" s="184" t="s">
        <v>30</v>
      </c>
      <c r="C62" s="85">
        <v>2</v>
      </c>
      <c r="D62" s="206">
        <f>SUM(C62)/C63*100</f>
        <v>2.2471910112359552</v>
      </c>
      <c r="F62" s="188" t="s">
        <v>49</v>
      </c>
    </row>
    <row r="63" spans="2:6" ht="19.5" customHeight="1" x14ac:dyDescent="0.25">
      <c r="B63" s="185"/>
      <c r="C63" s="85">
        <v>89</v>
      </c>
      <c r="D63" s="207"/>
      <c r="F63" s="189"/>
    </row>
    <row r="64" spans="2:6" ht="19.5" customHeight="1" x14ac:dyDescent="0.25">
      <c r="B64" s="184" t="s">
        <v>31</v>
      </c>
      <c r="C64" s="85">
        <v>209159.6</v>
      </c>
      <c r="D64" s="206">
        <f>SUM(C64)/C65*100</f>
        <v>0.44583729022767304</v>
      </c>
      <c r="F64" s="188" t="s">
        <v>49</v>
      </c>
    </row>
    <row r="65" spans="2:8" ht="19.5" customHeight="1" x14ac:dyDescent="0.25">
      <c r="B65" s="185"/>
      <c r="C65" s="85">
        <v>46913886.43</v>
      </c>
      <c r="D65" s="207"/>
      <c r="F65" s="189"/>
    </row>
    <row r="66" spans="2:8" ht="35.4" customHeight="1" x14ac:dyDescent="0.25">
      <c r="B66" s="80" t="s">
        <v>32</v>
      </c>
      <c r="C66" s="80" t="s">
        <v>2</v>
      </c>
      <c r="D66" s="80" t="s">
        <v>3</v>
      </c>
      <c r="F66" s="81" t="s">
        <v>43</v>
      </c>
    </row>
    <row r="67" spans="2:8" ht="18.75" customHeight="1" x14ac:dyDescent="0.25">
      <c r="B67" s="184" t="s">
        <v>33</v>
      </c>
      <c r="C67" s="82">
        <v>1986</v>
      </c>
      <c r="D67" s="200">
        <f>+C67/C68*100</f>
        <v>13.725896744764668</v>
      </c>
      <c r="F67" s="195" t="s">
        <v>147</v>
      </c>
    </row>
    <row r="68" spans="2:8" ht="18.75" customHeight="1" x14ac:dyDescent="0.25">
      <c r="B68" s="185"/>
      <c r="C68" s="82">
        <v>14469</v>
      </c>
      <c r="D68" s="201"/>
      <c r="F68" s="196"/>
    </row>
    <row r="69" spans="2:8" ht="18.75" customHeight="1" x14ac:dyDescent="0.25">
      <c r="B69" s="184" t="s">
        <v>34</v>
      </c>
      <c r="C69" s="86">
        <v>47</v>
      </c>
      <c r="D69" s="186">
        <f>SUM(C69)/C70*100</f>
        <v>56.626506024096393</v>
      </c>
      <c r="F69" s="87" t="s">
        <v>136</v>
      </c>
      <c r="H69" s="223"/>
    </row>
    <row r="70" spans="2:8" ht="18.75" customHeight="1" x14ac:dyDescent="0.25">
      <c r="B70" s="185"/>
      <c r="C70" s="86">
        <v>83</v>
      </c>
      <c r="D70" s="187"/>
      <c r="F70" s="88" t="s">
        <v>50</v>
      </c>
      <c r="H70" s="223"/>
    </row>
    <row r="71" spans="2:8" ht="18.75" customHeight="1" x14ac:dyDescent="0.25">
      <c r="B71" s="184" t="s">
        <v>35</v>
      </c>
      <c r="C71" s="86">
        <v>10638</v>
      </c>
      <c r="D71" s="222">
        <f>SUM(C71)/C72</f>
        <v>4.7154255319148932</v>
      </c>
      <c r="F71" s="197" t="s">
        <v>51</v>
      </c>
      <c r="H71" s="94"/>
    </row>
    <row r="72" spans="2:8" ht="18.75" customHeight="1" x14ac:dyDescent="0.25">
      <c r="B72" s="185"/>
      <c r="C72" s="86">
        <v>2256</v>
      </c>
      <c r="D72" s="222"/>
      <c r="F72" s="197"/>
    </row>
    <row r="73" spans="2:8" ht="18.75" customHeight="1" x14ac:dyDescent="0.25">
      <c r="B73" s="184" t="s">
        <v>36</v>
      </c>
      <c r="C73" s="86">
        <v>2256</v>
      </c>
      <c r="D73" s="191">
        <f>SUM(C73)/C74</f>
        <v>6.9629629629629628</v>
      </c>
      <c r="F73" s="214" t="s">
        <v>52</v>
      </c>
      <c r="H73" s="95"/>
    </row>
    <row r="74" spans="2:8" ht="18.75" customHeight="1" x14ac:dyDescent="0.25">
      <c r="B74" s="185"/>
      <c r="C74" s="86">
        <v>324</v>
      </c>
      <c r="D74" s="192"/>
      <c r="F74" s="215"/>
    </row>
    <row r="75" spans="2:8" ht="18.75" customHeight="1" x14ac:dyDescent="0.25">
      <c r="B75" s="184" t="s">
        <v>37</v>
      </c>
      <c r="C75" s="82">
        <v>5921</v>
      </c>
      <c r="D75" s="214">
        <f>SUM(C75)/C76</f>
        <v>38.448051948051948</v>
      </c>
      <c r="F75" s="188" t="s">
        <v>45</v>
      </c>
    </row>
    <row r="76" spans="2:8" ht="18.75" customHeight="1" x14ac:dyDescent="0.25">
      <c r="B76" s="185"/>
      <c r="C76" s="82">
        <v>154</v>
      </c>
      <c r="D76" s="215"/>
      <c r="F76" s="189"/>
    </row>
    <row r="77" spans="2:8" ht="18.75" customHeight="1" x14ac:dyDescent="0.25">
      <c r="B77" s="184" t="s">
        <v>38</v>
      </c>
      <c r="C77" s="82">
        <v>149</v>
      </c>
      <c r="D77" s="186">
        <f>SUM(C77)/C78*100</f>
        <v>96.753246753246756</v>
      </c>
      <c r="F77" s="188" t="s">
        <v>45</v>
      </c>
    </row>
    <row r="78" spans="2:8" ht="18.75" customHeight="1" x14ac:dyDescent="0.25">
      <c r="B78" s="185"/>
      <c r="C78" s="82">
        <v>154</v>
      </c>
      <c r="D78" s="187"/>
      <c r="F78" s="189"/>
    </row>
    <row r="79" spans="2:8" ht="18.75" customHeight="1" x14ac:dyDescent="0.25">
      <c r="B79" s="184" t="s">
        <v>39</v>
      </c>
      <c r="C79" s="89">
        <v>111127032.84</v>
      </c>
      <c r="D79" s="186">
        <f>SUM(C79)/C80/1000</f>
        <v>102.42122842396314</v>
      </c>
      <c r="F79" s="195" t="s">
        <v>53</v>
      </c>
    </row>
    <row r="80" spans="2:8" ht="18.75" customHeight="1" x14ac:dyDescent="0.25">
      <c r="B80" s="185"/>
      <c r="C80" s="86">
        <v>1085</v>
      </c>
      <c r="D80" s="187"/>
      <c r="F80" s="196"/>
    </row>
    <row r="81" spans="2:6" x14ac:dyDescent="0.25">
      <c r="B81" s="91"/>
      <c r="C81" s="91"/>
      <c r="D81" s="91"/>
      <c r="F81" s="91"/>
    </row>
    <row r="82" spans="2:6" ht="109.2" customHeight="1" x14ac:dyDescent="0.25">
      <c r="B82" s="92" t="s">
        <v>61</v>
      </c>
    </row>
    <row r="83" spans="2:6" x14ac:dyDescent="0.25">
      <c r="B83" s="93" t="s">
        <v>60</v>
      </c>
      <c r="C83" s="190"/>
      <c r="D83" s="190"/>
    </row>
  </sheetData>
  <mergeCells count="107">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A25:A26"/>
    <mergeCell ref="B25:B26"/>
    <mergeCell ref="D25:D26"/>
    <mergeCell ref="F25:F26"/>
    <mergeCell ref="B19:B20"/>
    <mergeCell ref="D19:D20"/>
    <mergeCell ref="F19:F20"/>
    <mergeCell ref="B21:B22"/>
    <mergeCell ref="D21:D22"/>
    <mergeCell ref="F21:F22"/>
    <mergeCell ref="B27:B28"/>
    <mergeCell ref="D27:D28"/>
    <mergeCell ref="F27:F28"/>
    <mergeCell ref="B30:B31"/>
    <mergeCell ref="D30:D31"/>
    <mergeCell ref="F30:F31"/>
    <mergeCell ref="B23:B24"/>
    <mergeCell ref="D23:D24"/>
    <mergeCell ref="F23:F24"/>
    <mergeCell ref="B36:B37"/>
    <mergeCell ref="D36:D37"/>
    <mergeCell ref="F36:F37"/>
    <mergeCell ref="B38:B39"/>
    <mergeCell ref="D38:D39"/>
    <mergeCell ref="F38:F39"/>
    <mergeCell ref="B32:B33"/>
    <mergeCell ref="D32:D33"/>
    <mergeCell ref="F32:F33"/>
    <mergeCell ref="B34:B35"/>
    <mergeCell ref="D34:D35"/>
    <mergeCell ref="F34:F35"/>
    <mergeCell ref="B45:B46"/>
    <mergeCell ref="D45:D46"/>
    <mergeCell ref="F45:F46"/>
    <mergeCell ref="B47:B48"/>
    <mergeCell ref="D47:D48"/>
    <mergeCell ref="F47:F48"/>
    <mergeCell ref="B40:B41"/>
    <mergeCell ref="D40:D41"/>
    <mergeCell ref="F40:F41"/>
    <mergeCell ref="B43:B44"/>
    <mergeCell ref="D43:D44"/>
    <mergeCell ref="F43:F44"/>
    <mergeCell ref="B53:B54"/>
    <mergeCell ref="D53:D54"/>
    <mergeCell ref="F53:F54"/>
    <mergeCell ref="B55:B56"/>
    <mergeCell ref="D55:D56"/>
    <mergeCell ref="F55:F56"/>
    <mergeCell ref="B49:B50"/>
    <mergeCell ref="D49:D50"/>
    <mergeCell ref="F49:F50"/>
    <mergeCell ref="B51:B52"/>
    <mergeCell ref="D51:D52"/>
    <mergeCell ref="F51:F52"/>
    <mergeCell ref="H69:H70"/>
    <mergeCell ref="B62:B63"/>
    <mergeCell ref="D62:D63"/>
    <mergeCell ref="F62:F63"/>
    <mergeCell ref="B64:B65"/>
    <mergeCell ref="D64:D65"/>
    <mergeCell ref="F64:F65"/>
    <mergeCell ref="B58:B59"/>
    <mergeCell ref="D58:D59"/>
    <mergeCell ref="F58:F59"/>
    <mergeCell ref="B60:B61"/>
    <mergeCell ref="D60:D61"/>
    <mergeCell ref="F60:F61"/>
    <mergeCell ref="B71:B72"/>
    <mergeCell ref="D71:D72"/>
    <mergeCell ref="F71:F72"/>
    <mergeCell ref="B73:B74"/>
    <mergeCell ref="D73:D74"/>
    <mergeCell ref="F73:F74"/>
    <mergeCell ref="B67:B68"/>
    <mergeCell ref="D67:D68"/>
    <mergeCell ref="F67:F68"/>
    <mergeCell ref="B69:B70"/>
    <mergeCell ref="D69:D70"/>
    <mergeCell ref="B79:B80"/>
    <mergeCell ref="D79:D80"/>
    <mergeCell ref="F79:F80"/>
    <mergeCell ref="C83:D83"/>
    <mergeCell ref="B75:B76"/>
    <mergeCell ref="D75:D76"/>
    <mergeCell ref="F75:F76"/>
    <mergeCell ref="B77:B78"/>
    <mergeCell ref="D77:D78"/>
    <mergeCell ref="F77:F78"/>
  </mergeCells>
  <printOptions horizontalCentered="1" verticalCentered="1"/>
  <pageMargins left="0.39370078740157483" right="0.39370078740157483" top="0.39370078740157483" bottom="0.39370078740157483" header="0.31496062992125984" footer="0.31496062992125984"/>
  <pageSetup scale="4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pageSetUpPr fitToPage="1"/>
  </sheetPr>
  <dimension ref="A4:H83"/>
  <sheetViews>
    <sheetView topLeftCell="B69" zoomScale="80" zoomScaleNormal="80" zoomScaleSheetLayoutView="75" workbookViewId="0">
      <selection activeCell="D75" sqref="D75:D76"/>
    </sheetView>
  </sheetViews>
  <sheetFormatPr baseColWidth="10" defaultColWidth="11.5546875" defaultRowHeight="13.2" x14ac:dyDescent="0.25"/>
  <cols>
    <col min="1" max="1" width="2.88671875" style="104" customWidth="1"/>
    <col min="2" max="2" width="77.6640625" style="104" customWidth="1"/>
    <col min="3" max="3" width="15.6640625" style="104" customWidth="1"/>
    <col min="4" max="4" width="14.6640625" style="104" customWidth="1"/>
    <col min="5" max="5" width="3.6640625" style="103" customWidth="1"/>
    <col min="6" max="6" width="24.33203125" style="104" customWidth="1"/>
    <col min="7" max="7" width="2.44140625" style="104" customWidth="1"/>
    <col min="8" max="8" width="76.6640625" style="104" customWidth="1"/>
    <col min="9" max="16384" width="11.5546875" style="104"/>
  </cols>
  <sheetData>
    <row r="4" spans="2:6" ht="17.399999999999999" x14ac:dyDescent="0.25">
      <c r="B4" s="101"/>
      <c r="C4" s="102"/>
      <c r="D4" s="102"/>
      <c r="F4" s="102"/>
    </row>
    <row r="5" spans="2:6" ht="46.5" customHeight="1" x14ac:dyDescent="0.25">
      <c r="B5" s="237" t="s">
        <v>148</v>
      </c>
      <c r="C5" s="237"/>
      <c r="D5" s="237"/>
    </row>
    <row r="6" spans="2:6" ht="17.399999999999999" x14ac:dyDescent="0.25">
      <c r="B6" s="218" t="s">
        <v>0</v>
      </c>
      <c r="C6" s="219"/>
      <c r="D6" s="220"/>
    </row>
    <row r="7" spans="2:6" ht="36" customHeight="1" x14ac:dyDescent="0.25">
      <c r="B7" s="238" t="s">
        <v>40</v>
      </c>
      <c r="C7" s="238"/>
      <c r="D7" s="238"/>
    </row>
    <row r="8" spans="2:6" ht="30.6" customHeight="1" x14ac:dyDescent="0.25">
      <c r="B8" s="80" t="s">
        <v>1</v>
      </c>
      <c r="C8" s="80" t="s">
        <v>2</v>
      </c>
      <c r="D8" s="80" t="s">
        <v>3</v>
      </c>
      <c r="F8" s="81" t="s">
        <v>43</v>
      </c>
    </row>
    <row r="9" spans="2:6" ht="18.75" customHeight="1" x14ac:dyDescent="0.25">
      <c r="B9" s="193" t="s">
        <v>134</v>
      </c>
      <c r="C9" s="86">
        <v>1793</v>
      </c>
      <c r="D9" s="188">
        <f>SUM(C9)/C10*100</f>
        <v>73.453502662843093</v>
      </c>
      <c r="F9" s="195" t="s">
        <v>44</v>
      </c>
    </row>
    <row r="10" spans="2:6" ht="18.75" customHeight="1" x14ac:dyDescent="0.25">
      <c r="B10" s="194"/>
      <c r="C10" s="86">
        <v>2441</v>
      </c>
      <c r="D10" s="189"/>
      <c r="F10" s="196"/>
    </row>
    <row r="11" spans="2:6" ht="18.75" customHeight="1" x14ac:dyDescent="0.25">
      <c r="B11" s="193" t="s">
        <v>4</v>
      </c>
      <c r="C11" s="86">
        <f>23+6+7</f>
        <v>36</v>
      </c>
      <c r="D11" s="188">
        <f>SUM(C11)/C12*100</f>
        <v>0.94093047569262944</v>
      </c>
      <c r="F11" s="195" t="s">
        <v>44</v>
      </c>
    </row>
    <row r="12" spans="2:6" ht="18.75" customHeight="1" x14ac:dyDescent="0.25">
      <c r="B12" s="194"/>
      <c r="C12" s="86">
        <v>3826</v>
      </c>
      <c r="D12" s="189"/>
      <c r="F12" s="196"/>
    </row>
    <row r="13" spans="2:6" ht="18.75" customHeight="1" x14ac:dyDescent="0.25">
      <c r="B13" s="193" t="s">
        <v>5</v>
      </c>
      <c r="C13" s="86">
        <f>2579+1314+794</f>
        <v>4687</v>
      </c>
      <c r="D13" s="188">
        <f>SUM(C13)/C14*100</f>
        <v>7.5282288504473245</v>
      </c>
      <c r="F13" s="195" t="s">
        <v>44</v>
      </c>
    </row>
    <row r="14" spans="2:6" ht="18.75" customHeight="1" x14ac:dyDescent="0.25">
      <c r="B14" s="194"/>
      <c r="C14" s="86">
        <f>25504+23386+13369</f>
        <v>62259</v>
      </c>
      <c r="D14" s="189"/>
      <c r="F14" s="196"/>
    </row>
    <row r="15" spans="2:6" ht="18.75" customHeight="1" x14ac:dyDescent="0.25">
      <c r="B15" s="193" t="s">
        <v>6</v>
      </c>
      <c r="C15" s="86">
        <v>1187</v>
      </c>
      <c r="D15" s="188">
        <f>+C15/C16*100</f>
        <v>57.649344341913555</v>
      </c>
      <c r="F15" s="195" t="s">
        <v>44</v>
      </c>
    </row>
    <row r="16" spans="2:6" ht="18.75" customHeight="1" x14ac:dyDescent="0.25">
      <c r="B16" s="194"/>
      <c r="C16" s="86">
        <v>2059</v>
      </c>
      <c r="D16" s="189"/>
      <c r="F16" s="196"/>
    </row>
    <row r="17" spans="1:6" ht="18.75" customHeight="1" x14ac:dyDescent="0.25">
      <c r="B17" s="193" t="s">
        <v>7</v>
      </c>
      <c r="C17" s="86">
        <v>1283</v>
      </c>
      <c r="D17" s="188">
        <f>SUM(C17)/C18*100</f>
        <v>100</v>
      </c>
      <c r="F17" s="195" t="s">
        <v>44</v>
      </c>
    </row>
    <row r="18" spans="1:6" ht="18.75" customHeight="1" x14ac:dyDescent="0.25">
      <c r="B18" s="194"/>
      <c r="C18" s="86">
        <v>1283</v>
      </c>
      <c r="D18" s="189"/>
      <c r="F18" s="196"/>
    </row>
    <row r="19" spans="1:6" ht="18.75" customHeight="1" x14ac:dyDescent="0.25">
      <c r="B19" s="193" t="s">
        <v>8</v>
      </c>
      <c r="C19" s="86">
        <v>1283</v>
      </c>
      <c r="D19" s="188">
        <f>SUM(C19)/C20*100</f>
        <v>92.302158273381295</v>
      </c>
      <c r="F19" s="195" t="s">
        <v>44</v>
      </c>
    </row>
    <row r="20" spans="1:6" ht="18.75" customHeight="1" x14ac:dyDescent="0.25">
      <c r="B20" s="194"/>
      <c r="C20" s="86">
        <v>1390</v>
      </c>
      <c r="D20" s="189"/>
      <c r="F20" s="196"/>
    </row>
    <row r="21" spans="1:6" ht="18.75" customHeight="1" x14ac:dyDescent="0.25">
      <c r="B21" s="193" t="s">
        <v>9</v>
      </c>
      <c r="C21" s="86">
        <f>1975+448+28</f>
        <v>2451</v>
      </c>
      <c r="D21" s="188">
        <f>SUM(C21)/C22*100</f>
        <v>64.061683220073178</v>
      </c>
      <c r="F21" s="195" t="s">
        <v>44</v>
      </c>
    </row>
    <row r="22" spans="1:6" ht="18.75" customHeight="1" x14ac:dyDescent="0.25">
      <c r="B22" s="194"/>
      <c r="C22" s="86">
        <v>3826</v>
      </c>
      <c r="D22" s="189"/>
      <c r="F22" s="196"/>
    </row>
    <row r="23" spans="1:6" ht="18.75" customHeight="1" x14ac:dyDescent="0.25">
      <c r="B23" s="193" t="s">
        <v>10</v>
      </c>
      <c r="C23" s="86">
        <f>507+274+220</f>
        <v>1001</v>
      </c>
      <c r="D23" s="188">
        <f>SUM(C23)/C24*100</f>
        <v>26.163094615786726</v>
      </c>
      <c r="F23" s="195" t="s">
        <v>44</v>
      </c>
    </row>
    <row r="24" spans="1:6" ht="18.75" customHeight="1" x14ac:dyDescent="0.25">
      <c r="B24" s="194"/>
      <c r="C24" s="86">
        <v>3826</v>
      </c>
      <c r="D24" s="189"/>
      <c r="F24" s="196"/>
    </row>
    <row r="25" spans="1:6" ht="18.75" customHeight="1" x14ac:dyDescent="0.25">
      <c r="A25" s="236"/>
      <c r="B25" s="193" t="s">
        <v>63</v>
      </c>
      <c r="C25" s="86">
        <v>3826</v>
      </c>
      <c r="D25" s="188">
        <f>+C25/C26*100</f>
        <v>100</v>
      </c>
      <c r="F25" s="195" t="s">
        <v>64</v>
      </c>
    </row>
    <row r="26" spans="1:6" ht="18.75" customHeight="1" x14ac:dyDescent="0.25">
      <c r="A26" s="236"/>
      <c r="B26" s="194"/>
      <c r="C26" s="86">
        <v>3826</v>
      </c>
      <c r="D26" s="189"/>
      <c r="F26" s="196"/>
    </row>
    <row r="27" spans="1:6" ht="18.75" customHeight="1" x14ac:dyDescent="0.25">
      <c r="B27" s="193" t="s">
        <v>103</v>
      </c>
      <c r="C27" s="86">
        <v>204</v>
      </c>
      <c r="D27" s="188">
        <f>+C27/C28*100</f>
        <v>5.3319393622582334</v>
      </c>
      <c r="F27" s="195" t="s">
        <v>44</v>
      </c>
    </row>
    <row r="28" spans="1:6" ht="18.75" customHeight="1" x14ac:dyDescent="0.25">
      <c r="B28" s="194"/>
      <c r="C28" s="86">
        <v>3826</v>
      </c>
      <c r="D28" s="189"/>
      <c r="F28" s="196"/>
    </row>
    <row r="29" spans="1:6" ht="30.6" customHeight="1" x14ac:dyDescent="0.25">
      <c r="B29" s="80" t="s">
        <v>11</v>
      </c>
      <c r="C29" s="80" t="s">
        <v>2</v>
      </c>
      <c r="D29" s="80" t="s">
        <v>3</v>
      </c>
      <c r="F29" s="81" t="s">
        <v>43</v>
      </c>
    </row>
    <row r="30" spans="1:6" ht="18.75" customHeight="1" x14ac:dyDescent="0.25">
      <c r="B30" s="193" t="s">
        <v>12</v>
      </c>
      <c r="C30" s="86">
        <v>5960</v>
      </c>
      <c r="D30" s="198">
        <f>SUM(C30)/C31</f>
        <v>26.607142857142858</v>
      </c>
      <c r="F30" s="195" t="s">
        <v>45</v>
      </c>
    </row>
    <row r="31" spans="1:6" ht="19.2" customHeight="1" x14ac:dyDescent="0.25">
      <c r="B31" s="194"/>
      <c r="C31" s="86">
        <v>224</v>
      </c>
      <c r="D31" s="199"/>
      <c r="F31" s="196"/>
    </row>
    <row r="32" spans="1:6" ht="19.2" customHeight="1" x14ac:dyDescent="0.25">
      <c r="B32" s="193" t="s">
        <v>13</v>
      </c>
      <c r="C32" s="86">
        <v>222</v>
      </c>
      <c r="D32" s="188">
        <f>SUM(C32)/C33*100</f>
        <v>99.107142857142861</v>
      </c>
      <c r="F32" s="195" t="s">
        <v>45</v>
      </c>
    </row>
    <row r="33" spans="2:6" ht="19.2" customHeight="1" x14ac:dyDescent="0.25">
      <c r="B33" s="194"/>
      <c r="C33" s="86">
        <v>224</v>
      </c>
      <c r="D33" s="189"/>
      <c r="F33" s="196"/>
    </row>
    <row r="34" spans="2:6" ht="19.2" customHeight="1" x14ac:dyDescent="0.25">
      <c r="B34" s="193" t="s">
        <v>14</v>
      </c>
      <c r="C34" s="86">
        <v>224</v>
      </c>
      <c r="D34" s="188">
        <f>SUM(C34)/C35*100</f>
        <v>100</v>
      </c>
      <c r="F34" s="195" t="s">
        <v>45</v>
      </c>
    </row>
    <row r="35" spans="2:6" ht="19.2" customHeight="1" x14ac:dyDescent="0.25">
      <c r="B35" s="194"/>
      <c r="C35" s="86">
        <v>224</v>
      </c>
      <c r="D35" s="189"/>
      <c r="F35" s="196"/>
    </row>
    <row r="36" spans="2:6" ht="19.2" customHeight="1" x14ac:dyDescent="0.25">
      <c r="B36" s="193" t="s">
        <v>15</v>
      </c>
      <c r="C36" s="86">
        <v>86</v>
      </c>
      <c r="D36" s="188">
        <f>SUM(C36)/C37*100</f>
        <v>38.392857142857146</v>
      </c>
      <c r="F36" s="195" t="s">
        <v>45</v>
      </c>
    </row>
    <row r="37" spans="2:6" ht="19.2" customHeight="1" x14ac:dyDescent="0.25">
      <c r="B37" s="194"/>
      <c r="C37" s="86">
        <v>224</v>
      </c>
      <c r="D37" s="189"/>
      <c r="F37" s="196"/>
    </row>
    <row r="38" spans="2:6" ht="19.2" customHeight="1" x14ac:dyDescent="0.25">
      <c r="B38" s="193" t="s">
        <v>16</v>
      </c>
      <c r="C38" s="86">
        <v>154</v>
      </c>
      <c r="D38" s="188">
        <f>SUM(C38)/C39*100</f>
        <v>68.75</v>
      </c>
      <c r="F38" s="195" t="s">
        <v>45</v>
      </c>
    </row>
    <row r="39" spans="2:6" ht="19.2" customHeight="1" x14ac:dyDescent="0.25">
      <c r="B39" s="194"/>
      <c r="C39" s="86">
        <v>224</v>
      </c>
      <c r="D39" s="189"/>
      <c r="F39" s="196"/>
    </row>
    <row r="40" spans="2:6" ht="19.2" customHeight="1" x14ac:dyDescent="0.25">
      <c r="B40" s="232" t="s">
        <v>17</v>
      </c>
      <c r="C40" s="86">
        <v>224</v>
      </c>
      <c r="D40" s="234">
        <f>+C40/C41*100</f>
        <v>100</v>
      </c>
      <c r="F40" s="195" t="s">
        <v>45</v>
      </c>
    </row>
    <row r="41" spans="2:6" ht="19.2" customHeight="1" x14ac:dyDescent="0.25">
      <c r="B41" s="233"/>
      <c r="C41" s="86">
        <v>224</v>
      </c>
      <c r="D41" s="235"/>
      <c r="F41" s="196"/>
    </row>
    <row r="42" spans="2:6" ht="30.6" customHeight="1" x14ac:dyDescent="0.25">
      <c r="B42" s="80" t="s">
        <v>18</v>
      </c>
      <c r="C42" s="80" t="s">
        <v>2</v>
      </c>
      <c r="D42" s="80" t="s">
        <v>3</v>
      </c>
      <c r="F42" s="81" t="s">
        <v>43</v>
      </c>
    </row>
    <row r="43" spans="2:6" ht="18.75" customHeight="1" x14ac:dyDescent="0.25">
      <c r="B43" s="193" t="s">
        <v>19</v>
      </c>
      <c r="C43" s="83"/>
      <c r="D43" s="212" t="s">
        <v>20</v>
      </c>
      <c r="F43" s="212"/>
    </row>
    <row r="44" spans="2:6" ht="18.75" customHeight="1" x14ac:dyDescent="0.25">
      <c r="B44" s="194"/>
      <c r="C44" s="83"/>
      <c r="D44" s="213"/>
      <c r="F44" s="213"/>
    </row>
    <row r="45" spans="2:6" ht="18.75" customHeight="1" x14ac:dyDescent="0.25">
      <c r="B45" s="193" t="s">
        <v>21</v>
      </c>
      <c r="C45" s="86">
        <v>660</v>
      </c>
      <c r="D45" s="188">
        <f>SUM(C45)/C46*100</f>
        <v>11.073825503355705</v>
      </c>
      <c r="F45" s="195" t="s">
        <v>46</v>
      </c>
    </row>
    <row r="46" spans="2:6" ht="18.75" customHeight="1" x14ac:dyDescent="0.25">
      <c r="B46" s="194"/>
      <c r="C46" s="86">
        <v>5960</v>
      </c>
      <c r="D46" s="189"/>
      <c r="F46" s="196"/>
    </row>
    <row r="47" spans="2:6" ht="18.75" customHeight="1" x14ac:dyDescent="0.25">
      <c r="B47" s="193" t="s">
        <v>22</v>
      </c>
      <c r="C47" s="86">
        <v>500</v>
      </c>
      <c r="D47" s="188">
        <f>SUM(C47)/C48*100</f>
        <v>8.3892617449664435</v>
      </c>
      <c r="F47" s="195" t="s">
        <v>46</v>
      </c>
    </row>
    <row r="48" spans="2:6" ht="18.75" customHeight="1" x14ac:dyDescent="0.25">
      <c r="B48" s="194"/>
      <c r="C48" s="86">
        <v>5960</v>
      </c>
      <c r="D48" s="189"/>
      <c r="F48" s="196"/>
    </row>
    <row r="49" spans="2:8" ht="18.75" customHeight="1" x14ac:dyDescent="0.25">
      <c r="B49" s="193" t="s">
        <v>23</v>
      </c>
      <c r="C49" s="86">
        <v>32</v>
      </c>
      <c r="D49" s="188">
        <f>SUM(C49)/C50*100</f>
        <v>0.83638264506011495</v>
      </c>
      <c r="F49" s="195" t="s">
        <v>56</v>
      </c>
    </row>
    <row r="50" spans="2:8" ht="18.75" customHeight="1" x14ac:dyDescent="0.25">
      <c r="B50" s="194"/>
      <c r="C50" s="86">
        <v>3826</v>
      </c>
      <c r="D50" s="189"/>
      <c r="F50" s="196"/>
    </row>
    <row r="51" spans="2:8" ht="18.75" customHeight="1" x14ac:dyDescent="0.25">
      <c r="B51" s="193" t="s">
        <v>24</v>
      </c>
      <c r="C51" s="86">
        <v>32</v>
      </c>
      <c r="D51" s="188">
        <f>SUM(C51)/C52*100</f>
        <v>0.83638264506011495</v>
      </c>
      <c r="F51" s="195" t="s">
        <v>56</v>
      </c>
    </row>
    <row r="52" spans="2:8" ht="18.75" customHeight="1" x14ac:dyDescent="0.25">
      <c r="B52" s="194"/>
      <c r="C52" s="86">
        <v>3826</v>
      </c>
      <c r="D52" s="189"/>
      <c r="F52" s="196"/>
    </row>
    <row r="53" spans="2:8" ht="18.75" customHeight="1" x14ac:dyDescent="0.25">
      <c r="B53" s="193" t="s">
        <v>25</v>
      </c>
      <c r="C53" s="86">
        <f>9+111</f>
        <v>120</v>
      </c>
      <c r="D53" s="188">
        <f>SUM(C53)/C54*100</f>
        <v>9.9916736053288915</v>
      </c>
      <c r="F53" s="195" t="s">
        <v>47</v>
      </c>
    </row>
    <row r="54" spans="2:8" ht="18.75" customHeight="1" x14ac:dyDescent="0.25">
      <c r="B54" s="194"/>
      <c r="C54" s="86">
        <f>3+11+1187</f>
        <v>1201</v>
      </c>
      <c r="D54" s="189"/>
      <c r="F54" s="196"/>
    </row>
    <row r="55" spans="2:8" ht="18.75" customHeight="1" x14ac:dyDescent="0.25">
      <c r="B55" s="193" t="s">
        <v>26</v>
      </c>
      <c r="C55" s="86">
        <v>39</v>
      </c>
      <c r="D55" s="188">
        <f>SUM(C55)/C56*100</f>
        <v>100</v>
      </c>
      <c r="F55" s="195" t="s">
        <v>48</v>
      </c>
      <c r="H55" s="231"/>
    </row>
    <row r="56" spans="2:8" ht="18.75" customHeight="1" x14ac:dyDescent="0.25">
      <c r="B56" s="194"/>
      <c r="C56" s="86">
        <v>39</v>
      </c>
      <c r="D56" s="189"/>
      <c r="F56" s="196"/>
      <c r="H56" s="231"/>
    </row>
    <row r="57" spans="2:8" ht="30.6" customHeight="1" x14ac:dyDescent="0.25">
      <c r="B57" s="80" t="s">
        <v>27</v>
      </c>
      <c r="C57" s="80" t="s">
        <v>2</v>
      </c>
      <c r="D57" s="80" t="s">
        <v>3</v>
      </c>
      <c r="F57" s="81" t="s">
        <v>43</v>
      </c>
    </row>
    <row r="58" spans="2:8" ht="18.75" customHeight="1" x14ac:dyDescent="0.25">
      <c r="B58" s="193" t="s">
        <v>28</v>
      </c>
      <c r="C58" s="105">
        <f>92+2</f>
        <v>94</v>
      </c>
      <c r="D58" s="229">
        <f>SUM(C58)/C59*100</f>
        <v>2.4568740198640877</v>
      </c>
      <c r="F58" s="195" t="s">
        <v>49</v>
      </c>
    </row>
    <row r="59" spans="2:8" ht="18.75" customHeight="1" x14ac:dyDescent="0.25">
      <c r="B59" s="194"/>
      <c r="C59" s="106">
        <v>3826</v>
      </c>
      <c r="D59" s="230"/>
      <c r="F59" s="196"/>
    </row>
    <row r="60" spans="2:8" ht="18.75" customHeight="1" x14ac:dyDescent="0.25">
      <c r="B60" s="193" t="s">
        <v>29</v>
      </c>
      <c r="C60" s="106">
        <f>37+12</f>
        <v>49</v>
      </c>
      <c r="D60" s="229">
        <f>SUM(C60)/C61*100</f>
        <v>65.333333333333329</v>
      </c>
      <c r="F60" s="195" t="s">
        <v>49</v>
      </c>
    </row>
    <row r="61" spans="2:8" ht="18.75" customHeight="1" x14ac:dyDescent="0.25">
      <c r="B61" s="194"/>
      <c r="C61" s="106">
        <v>75</v>
      </c>
      <c r="D61" s="230"/>
      <c r="F61" s="196"/>
    </row>
    <row r="62" spans="2:8" ht="18.75" customHeight="1" x14ac:dyDescent="0.25">
      <c r="B62" s="193" t="s">
        <v>30</v>
      </c>
      <c r="C62" s="106">
        <v>2</v>
      </c>
      <c r="D62" s="229">
        <f>SUM(C62)/C63*100</f>
        <v>2.666666666666667</v>
      </c>
      <c r="F62" s="195" t="s">
        <v>49</v>
      </c>
    </row>
    <row r="63" spans="2:8" ht="18.75" customHeight="1" x14ac:dyDescent="0.25">
      <c r="B63" s="194"/>
      <c r="C63" s="106">
        <v>75</v>
      </c>
      <c r="D63" s="230"/>
      <c r="F63" s="196"/>
    </row>
    <row r="64" spans="2:8" ht="18.75" customHeight="1" x14ac:dyDescent="0.25">
      <c r="B64" s="193" t="s">
        <v>31</v>
      </c>
      <c r="C64" s="107">
        <v>85091.29</v>
      </c>
      <c r="D64" s="229">
        <f>SUM(C64)/C65*100</f>
        <v>8.1925459225723044E-2</v>
      </c>
      <c r="F64" s="195" t="s">
        <v>49</v>
      </c>
    </row>
    <row r="65" spans="2:8" ht="18.75" customHeight="1" x14ac:dyDescent="0.25">
      <c r="B65" s="194"/>
      <c r="C65" s="108">
        <v>103864282</v>
      </c>
      <c r="D65" s="230"/>
      <c r="F65" s="196"/>
    </row>
    <row r="66" spans="2:8" ht="30.6" customHeight="1" x14ac:dyDescent="0.25">
      <c r="B66" s="80" t="s">
        <v>32</v>
      </c>
      <c r="C66" s="80" t="s">
        <v>2</v>
      </c>
      <c r="D66" s="80" t="s">
        <v>3</v>
      </c>
      <c r="F66" s="81" t="s">
        <v>43</v>
      </c>
    </row>
    <row r="67" spans="2:8" ht="18.75" customHeight="1" x14ac:dyDescent="0.25">
      <c r="B67" s="193" t="s">
        <v>33</v>
      </c>
      <c r="C67" s="86">
        <v>1793</v>
      </c>
      <c r="D67" s="227">
        <f>+C67/C68*100</f>
        <v>39.0376660134988</v>
      </c>
      <c r="F67" s="195" t="s">
        <v>147</v>
      </c>
    </row>
    <row r="68" spans="2:8" ht="18.75" customHeight="1" x14ac:dyDescent="0.25">
      <c r="B68" s="194"/>
      <c r="C68" s="86">
        <v>4593</v>
      </c>
      <c r="D68" s="228"/>
      <c r="F68" s="196"/>
    </row>
    <row r="69" spans="2:8" ht="18.75" customHeight="1" x14ac:dyDescent="0.25">
      <c r="B69" s="193" t="s">
        <v>34</v>
      </c>
      <c r="C69" s="86">
        <v>156</v>
      </c>
      <c r="D69" s="188">
        <f>SUM(C69)/C70*100</f>
        <v>195</v>
      </c>
      <c r="F69" s="195" t="s">
        <v>50</v>
      </c>
      <c r="H69" s="225"/>
    </row>
    <row r="70" spans="2:8" ht="18.75" customHeight="1" x14ac:dyDescent="0.25">
      <c r="B70" s="194"/>
      <c r="C70" s="86">
        <v>80</v>
      </c>
      <c r="D70" s="189"/>
      <c r="F70" s="196"/>
      <c r="H70" s="225"/>
    </row>
    <row r="71" spans="2:8" ht="18.75" customHeight="1" x14ac:dyDescent="0.25">
      <c r="B71" s="193" t="s">
        <v>35</v>
      </c>
      <c r="C71" s="86">
        <v>9277</v>
      </c>
      <c r="D71" s="188">
        <f>SUM(C71)/C72</f>
        <v>2.4247255619445895</v>
      </c>
      <c r="F71" s="226" t="s">
        <v>51</v>
      </c>
    </row>
    <row r="72" spans="2:8" ht="18.75" customHeight="1" x14ac:dyDescent="0.25">
      <c r="B72" s="194"/>
      <c r="C72" s="86">
        <v>3826</v>
      </c>
      <c r="D72" s="189"/>
      <c r="F72" s="226"/>
    </row>
    <row r="73" spans="2:8" ht="18.75" customHeight="1" x14ac:dyDescent="0.25">
      <c r="B73" s="193" t="s">
        <v>36</v>
      </c>
      <c r="C73" s="86">
        <v>5960</v>
      </c>
      <c r="D73" s="198">
        <f>SUM(C73)/C74</f>
        <v>18.395061728395063</v>
      </c>
      <c r="F73" s="214" t="s">
        <v>52</v>
      </c>
    </row>
    <row r="74" spans="2:8" ht="18.75" customHeight="1" x14ac:dyDescent="0.25">
      <c r="B74" s="194"/>
      <c r="C74" s="86">
        <v>324</v>
      </c>
      <c r="D74" s="199"/>
      <c r="F74" s="215"/>
    </row>
    <row r="75" spans="2:8" ht="18.75" customHeight="1" x14ac:dyDescent="0.25">
      <c r="B75" s="193" t="s">
        <v>37</v>
      </c>
      <c r="C75" s="86">
        <v>5960</v>
      </c>
      <c r="D75" s="198">
        <f>SUM(C75)/C76</f>
        <v>37.484276729559745</v>
      </c>
      <c r="F75" s="195" t="s">
        <v>45</v>
      </c>
    </row>
    <row r="76" spans="2:8" ht="18.75" customHeight="1" x14ac:dyDescent="0.25">
      <c r="B76" s="194"/>
      <c r="C76" s="86">
        <v>159</v>
      </c>
      <c r="D76" s="199"/>
      <c r="F76" s="196"/>
    </row>
    <row r="77" spans="2:8" ht="18.75" customHeight="1" x14ac:dyDescent="0.25">
      <c r="B77" s="193" t="s">
        <v>38</v>
      </c>
      <c r="C77" s="86">
        <v>156</v>
      </c>
      <c r="D77" s="188">
        <f>SUM(C77)/C78*100</f>
        <v>98.113207547169807</v>
      </c>
      <c r="F77" s="195" t="s">
        <v>45</v>
      </c>
    </row>
    <row r="78" spans="2:8" ht="18.75" customHeight="1" x14ac:dyDescent="0.25">
      <c r="B78" s="194"/>
      <c r="C78" s="86">
        <v>159</v>
      </c>
      <c r="D78" s="189"/>
      <c r="F78" s="196"/>
    </row>
    <row r="79" spans="2:8" ht="18.75" customHeight="1" x14ac:dyDescent="0.25">
      <c r="B79" s="193" t="s">
        <v>39</v>
      </c>
      <c r="C79" s="109">
        <v>109307451.24000001</v>
      </c>
      <c r="D79" s="188">
        <f>SUM(C79)/C80/1000</f>
        <v>28.569642247778361</v>
      </c>
      <c r="F79" s="195" t="s">
        <v>53</v>
      </c>
      <c r="G79" s="110"/>
    </row>
    <row r="80" spans="2:8" ht="18.75" customHeight="1" x14ac:dyDescent="0.25">
      <c r="B80" s="194"/>
      <c r="C80" s="86">
        <v>3826</v>
      </c>
      <c r="D80" s="189"/>
      <c r="F80" s="196"/>
    </row>
    <row r="81" spans="2:6" x14ac:dyDescent="0.25">
      <c r="B81" s="102"/>
      <c r="C81" s="102"/>
      <c r="D81" s="102"/>
      <c r="F81" s="111"/>
    </row>
    <row r="82" spans="2:6" ht="109.2" customHeight="1" x14ac:dyDescent="0.25">
      <c r="B82" s="112" t="s">
        <v>61</v>
      </c>
    </row>
    <row r="83" spans="2:6" x14ac:dyDescent="0.25">
      <c r="B83" s="113" t="s">
        <v>60</v>
      </c>
      <c r="C83" s="224"/>
      <c r="D83" s="224"/>
    </row>
  </sheetData>
  <mergeCells count="109">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A25:A26"/>
    <mergeCell ref="B25:B26"/>
    <mergeCell ref="D25:D26"/>
    <mergeCell ref="F25:F26"/>
    <mergeCell ref="B19:B20"/>
    <mergeCell ref="D19:D20"/>
    <mergeCell ref="F19:F20"/>
    <mergeCell ref="B21:B22"/>
    <mergeCell ref="D21:D22"/>
    <mergeCell ref="F21:F22"/>
    <mergeCell ref="B27:B28"/>
    <mergeCell ref="D27:D28"/>
    <mergeCell ref="F27:F28"/>
    <mergeCell ref="B30:B31"/>
    <mergeCell ref="D30:D31"/>
    <mergeCell ref="F30:F31"/>
    <mergeCell ref="B23:B24"/>
    <mergeCell ref="D23:D24"/>
    <mergeCell ref="F23:F24"/>
    <mergeCell ref="B36:B37"/>
    <mergeCell ref="D36:D37"/>
    <mergeCell ref="F36:F37"/>
    <mergeCell ref="B38:B39"/>
    <mergeCell ref="D38:D39"/>
    <mergeCell ref="F38:F39"/>
    <mergeCell ref="B32:B33"/>
    <mergeCell ref="D32:D33"/>
    <mergeCell ref="F32:F33"/>
    <mergeCell ref="B34:B35"/>
    <mergeCell ref="D34:D35"/>
    <mergeCell ref="F34:F35"/>
    <mergeCell ref="B45:B46"/>
    <mergeCell ref="D45:D46"/>
    <mergeCell ref="F45:F46"/>
    <mergeCell ref="B47:B48"/>
    <mergeCell ref="D47:D48"/>
    <mergeCell ref="F47:F48"/>
    <mergeCell ref="B40:B41"/>
    <mergeCell ref="D40:D41"/>
    <mergeCell ref="F40:F41"/>
    <mergeCell ref="B43:B44"/>
    <mergeCell ref="D43:D44"/>
    <mergeCell ref="F43:F44"/>
    <mergeCell ref="B53:B54"/>
    <mergeCell ref="D53:D54"/>
    <mergeCell ref="F53:F54"/>
    <mergeCell ref="B55:B56"/>
    <mergeCell ref="D55:D56"/>
    <mergeCell ref="F55:F56"/>
    <mergeCell ref="B49:B50"/>
    <mergeCell ref="D49:D50"/>
    <mergeCell ref="F49:F50"/>
    <mergeCell ref="B51:B52"/>
    <mergeCell ref="D51:D52"/>
    <mergeCell ref="F51:F52"/>
    <mergeCell ref="B62:B63"/>
    <mergeCell ref="D62:D63"/>
    <mergeCell ref="F62:F63"/>
    <mergeCell ref="B64:B65"/>
    <mergeCell ref="D64:D65"/>
    <mergeCell ref="F64:F65"/>
    <mergeCell ref="H55:H56"/>
    <mergeCell ref="B58:B59"/>
    <mergeCell ref="D58:D59"/>
    <mergeCell ref="F58:F59"/>
    <mergeCell ref="B60:B61"/>
    <mergeCell ref="D60:D61"/>
    <mergeCell ref="F60:F61"/>
    <mergeCell ref="H69:H70"/>
    <mergeCell ref="B71:B72"/>
    <mergeCell ref="D71:D72"/>
    <mergeCell ref="F71:F72"/>
    <mergeCell ref="B73:B74"/>
    <mergeCell ref="D73:D74"/>
    <mergeCell ref="F73:F74"/>
    <mergeCell ref="B67:B68"/>
    <mergeCell ref="D67:D68"/>
    <mergeCell ref="F67:F68"/>
    <mergeCell ref="B69:B70"/>
    <mergeCell ref="D69:D70"/>
    <mergeCell ref="F69:F70"/>
    <mergeCell ref="B79:B80"/>
    <mergeCell ref="D79:D80"/>
    <mergeCell ref="F79:F80"/>
    <mergeCell ref="C83:D83"/>
    <mergeCell ref="B75:B76"/>
    <mergeCell ref="D75:D76"/>
    <mergeCell ref="F75:F76"/>
    <mergeCell ref="B77:B78"/>
    <mergeCell ref="D77:D78"/>
    <mergeCell ref="F77:F78"/>
  </mergeCells>
  <printOptions horizontalCentered="1" verticalCentered="1"/>
  <pageMargins left="0.39370078740157483" right="0.39370078740157483" top="0.39370078740157483" bottom="0.39370078740157483" header="0.31496062992125984" footer="0.31496062992125984"/>
  <pageSetup scale="46" orientation="portrait" horizontalDpi="4294967295" verticalDpi="429496729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4:H83"/>
  <sheetViews>
    <sheetView topLeftCell="B37" zoomScale="80" zoomScaleNormal="80" zoomScaleSheetLayoutView="75" workbookViewId="0">
      <selection activeCell="D75" sqref="D75:D76"/>
    </sheetView>
  </sheetViews>
  <sheetFormatPr baseColWidth="10" defaultColWidth="11.5546875" defaultRowHeight="13.2" x14ac:dyDescent="0.25"/>
  <cols>
    <col min="1" max="1" width="2.88671875" style="104" customWidth="1"/>
    <col min="2" max="2" width="77.6640625" style="104" customWidth="1"/>
    <col min="3" max="3" width="15.88671875" style="104" customWidth="1"/>
    <col min="4" max="4" width="14.6640625" style="104" customWidth="1"/>
    <col min="5" max="5" width="3.6640625" style="103" customWidth="1"/>
    <col min="6" max="6" width="24.33203125" style="104" customWidth="1"/>
    <col min="7" max="7" width="2.6640625" style="104" customWidth="1"/>
    <col min="8" max="8" width="58.6640625" style="104" customWidth="1"/>
    <col min="9" max="16384" width="11.5546875" style="104"/>
  </cols>
  <sheetData>
    <row r="4" spans="2:6" ht="17.399999999999999" x14ac:dyDescent="0.25">
      <c r="B4" s="101"/>
      <c r="C4" s="102"/>
      <c r="D4" s="102"/>
      <c r="F4" s="102"/>
    </row>
    <row r="5" spans="2:6" ht="42" customHeight="1" x14ac:dyDescent="0.25">
      <c r="B5" s="237" t="s">
        <v>148</v>
      </c>
      <c r="C5" s="237"/>
      <c r="D5" s="237"/>
    </row>
    <row r="6" spans="2:6" ht="17.399999999999999" x14ac:dyDescent="0.25">
      <c r="B6" s="218" t="s">
        <v>0</v>
      </c>
      <c r="C6" s="219"/>
      <c r="D6" s="220"/>
    </row>
    <row r="7" spans="2:6" ht="36" customHeight="1" x14ac:dyDescent="0.25">
      <c r="B7" s="238" t="s">
        <v>41</v>
      </c>
      <c r="C7" s="238"/>
      <c r="D7" s="238"/>
    </row>
    <row r="8" spans="2:6" ht="35.4" customHeight="1" x14ac:dyDescent="0.25">
      <c r="B8" s="80" t="s">
        <v>1</v>
      </c>
      <c r="C8" s="80" t="s">
        <v>2</v>
      </c>
      <c r="D8" s="80" t="s">
        <v>3</v>
      </c>
      <c r="F8" s="81" t="s">
        <v>43</v>
      </c>
    </row>
    <row r="9" spans="2:6" ht="18.75" customHeight="1" x14ac:dyDescent="0.25">
      <c r="B9" s="193" t="s">
        <v>54</v>
      </c>
      <c r="C9" s="86">
        <v>1127</v>
      </c>
      <c r="D9" s="188">
        <f>SUM(C9)/C10*100</f>
        <v>96.738197424892704</v>
      </c>
      <c r="F9" s="195" t="s">
        <v>44</v>
      </c>
    </row>
    <row r="10" spans="2:6" ht="18.75" customHeight="1" x14ac:dyDescent="0.25">
      <c r="B10" s="194"/>
      <c r="C10" s="86">
        <v>1165</v>
      </c>
      <c r="D10" s="189"/>
      <c r="F10" s="196"/>
    </row>
    <row r="11" spans="2:6" ht="18.75" customHeight="1" x14ac:dyDescent="0.25">
      <c r="B11" s="193" t="s">
        <v>4</v>
      </c>
      <c r="C11" s="86">
        <f>0+0+0</f>
        <v>0</v>
      </c>
      <c r="D11" s="188">
        <f>SUM(C11)/C12*100</f>
        <v>0</v>
      </c>
      <c r="F11" s="195" t="s">
        <v>44</v>
      </c>
    </row>
    <row r="12" spans="2:6" ht="18.75" customHeight="1" x14ac:dyDescent="0.25">
      <c r="B12" s="194"/>
      <c r="C12" s="86">
        <v>2134</v>
      </c>
      <c r="D12" s="189"/>
      <c r="F12" s="196"/>
    </row>
    <row r="13" spans="2:6" ht="18.75" customHeight="1" x14ac:dyDescent="0.25">
      <c r="B13" s="193" t="s">
        <v>5</v>
      </c>
      <c r="C13" s="86">
        <f>182+116+66</f>
        <v>364</v>
      </c>
      <c r="D13" s="188">
        <f>SUM(C13)/C14*100</f>
        <v>1.3380877109142373</v>
      </c>
      <c r="F13" s="195" t="s">
        <v>44</v>
      </c>
    </row>
    <row r="14" spans="2:6" ht="18.75" customHeight="1" x14ac:dyDescent="0.25">
      <c r="B14" s="194"/>
      <c r="C14" s="86">
        <f>13317+7403+6483</f>
        <v>27203</v>
      </c>
      <c r="D14" s="189"/>
      <c r="F14" s="196"/>
    </row>
    <row r="15" spans="2:6" ht="18.75" customHeight="1" x14ac:dyDescent="0.25">
      <c r="B15" s="193" t="s">
        <v>6</v>
      </c>
      <c r="C15" s="86">
        <v>893</v>
      </c>
      <c r="D15" s="188">
        <f>SUM(C15)/C16*100</f>
        <v>86.447241045498544</v>
      </c>
      <c r="F15" s="195" t="s">
        <v>44</v>
      </c>
    </row>
    <row r="16" spans="2:6" ht="18.75" customHeight="1" x14ac:dyDescent="0.25">
      <c r="B16" s="194"/>
      <c r="C16" s="86">
        <v>1033</v>
      </c>
      <c r="D16" s="189"/>
      <c r="F16" s="196"/>
    </row>
    <row r="17" spans="1:6" ht="18.75" customHeight="1" x14ac:dyDescent="0.25">
      <c r="B17" s="193" t="s">
        <v>7</v>
      </c>
      <c r="C17" s="86">
        <v>960</v>
      </c>
      <c r="D17" s="188">
        <f>SUM(C17)/C18*100</f>
        <v>100</v>
      </c>
      <c r="F17" s="195" t="s">
        <v>44</v>
      </c>
    </row>
    <row r="18" spans="1:6" ht="18.75" customHeight="1" x14ac:dyDescent="0.25">
      <c r="B18" s="194"/>
      <c r="C18" s="86">
        <v>960</v>
      </c>
      <c r="D18" s="189"/>
      <c r="F18" s="196"/>
    </row>
    <row r="19" spans="1:6" ht="18.75" customHeight="1" x14ac:dyDescent="0.25">
      <c r="B19" s="193" t="s">
        <v>8</v>
      </c>
      <c r="C19" s="86">
        <v>960</v>
      </c>
      <c r="D19" s="188">
        <f>SUM(C19)/C20*100</f>
        <v>94.395280235988196</v>
      </c>
      <c r="F19" s="195" t="s">
        <v>44</v>
      </c>
    </row>
    <row r="20" spans="1:6" ht="18.75" customHeight="1" x14ac:dyDescent="0.25">
      <c r="B20" s="194"/>
      <c r="C20" s="86">
        <v>1017</v>
      </c>
      <c r="D20" s="189"/>
      <c r="F20" s="196"/>
    </row>
    <row r="21" spans="1:6" ht="18.75" customHeight="1" x14ac:dyDescent="0.25">
      <c r="B21" s="193" t="s">
        <v>9</v>
      </c>
      <c r="C21" s="86">
        <f>1417+96+6</f>
        <v>1519</v>
      </c>
      <c r="D21" s="188">
        <f>SUM(C21)/C22*100</f>
        <v>71.180880974695398</v>
      </c>
      <c r="F21" s="195" t="s">
        <v>44</v>
      </c>
    </row>
    <row r="22" spans="1:6" ht="18.75" customHeight="1" x14ac:dyDescent="0.25">
      <c r="B22" s="194"/>
      <c r="C22" s="86">
        <v>2134</v>
      </c>
      <c r="D22" s="189"/>
      <c r="F22" s="196"/>
    </row>
    <row r="23" spans="1:6" ht="18.75" customHeight="1" x14ac:dyDescent="0.25">
      <c r="B23" s="193" t="s">
        <v>10</v>
      </c>
      <c r="C23" s="86">
        <f>61+59+18</f>
        <v>138</v>
      </c>
      <c r="D23" s="188">
        <f>SUM(C23)/C24*100</f>
        <v>6.4667291471415185</v>
      </c>
      <c r="F23" s="195" t="s">
        <v>44</v>
      </c>
    </row>
    <row r="24" spans="1:6" ht="18.75" customHeight="1" x14ac:dyDescent="0.25">
      <c r="B24" s="194"/>
      <c r="C24" s="86">
        <v>2134</v>
      </c>
      <c r="D24" s="189"/>
      <c r="F24" s="196"/>
    </row>
    <row r="25" spans="1:6" ht="18.75" customHeight="1" x14ac:dyDescent="0.25">
      <c r="A25" s="236"/>
      <c r="B25" s="193" t="s">
        <v>63</v>
      </c>
      <c r="C25" s="86">
        <v>2134</v>
      </c>
      <c r="D25" s="188">
        <f>+C25/C26*100</f>
        <v>100</v>
      </c>
      <c r="F25" s="195" t="s">
        <v>64</v>
      </c>
    </row>
    <row r="26" spans="1:6" ht="18.75" customHeight="1" x14ac:dyDescent="0.25">
      <c r="A26" s="236"/>
      <c r="B26" s="194"/>
      <c r="C26" s="86">
        <v>2134</v>
      </c>
      <c r="D26" s="189"/>
      <c r="F26" s="196"/>
    </row>
    <row r="27" spans="1:6" ht="18.75" customHeight="1" x14ac:dyDescent="0.25">
      <c r="B27" s="240" t="s">
        <v>103</v>
      </c>
      <c r="C27" s="86">
        <v>84</v>
      </c>
      <c r="D27" s="188">
        <f>+C27/C28*100</f>
        <v>3.936269915651359</v>
      </c>
      <c r="F27" s="195" t="s">
        <v>44</v>
      </c>
    </row>
    <row r="28" spans="1:6" ht="18.75" customHeight="1" x14ac:dyDescent="0.25">
      <c r="B28" s="241"/>
      <c r="C28" s="86">
        <v>2134</v>
      </c>
      <c r="D28" s="189"/>
      <c r="F28" s="196"/>
    </row>
    <row r="29" spans="1:6" ht="35.4" customHeight="1" x14ac:dyDescent="0.25">
      <c r="B29" s="80" t="s">
        <v>11</v>
      </c>
      <c r="C29" s="80" t="s">
        <v>2</v>
      </c>
      <c r="D29" s="80" t="s">
        <v>3</v>
      </c>
      <c r="F29" s="81" t="s">
        <v>43</v>
      </c>
    </row>
    <row r="30" spans="1:6" ht="18.75" customHeight="1" x14ac:dyDescent="0.25">
      <c r="B30" s="193" t="s">
        <v>12</v>
      </c>
      <c r="C30" s="86">
        <v>5960</v>
      </c>
      <c r="D30" s="198">
        <f>SUM(C30)/C31</f>
        <v>26.607142857142858</v>
      </c>
      <c r="F30" s="195" t="s">
        <v>45</v>
      </c>
    </row>
    <row r="31" spans="1:6" ht="18.75" customHeight="1" x14ac:dyDescent="0.25">
      <c r="B31" s="194"/>
      <c r="C31" s="86">
        <v>224</v>
      </c>
      <c r="D31" s="199"/>
      <c r="F31" s="196"/>
    </row>
    <row r="32" spans="1:6" ht="18.75" customHeight="1" x14ac:dyDescent="0.25">
      <c r="B32" s="193" t="s">
        <v>13</v>
      </c>
      <c r="C32" s="86">
        <v>222</v>
      </c>
      <c r="D32" s="188">
        <f>SUM(C32)/C33*100</f>
        <v>99.107142857142861</v>
      </c>
      <c r="F32" s="195" t="s">
        <v>45</v>
      </c>
    </row>
    <row r="33" spans="2:6" ht="18.75" customHeight="1" x14ac:dyDescent="0.25">
      <c r="B33" s="194"/>
      <c r="C33" s="86">
        <v>224</v>
      </c>
      <c r="D33" s="189"/>
      <c r="F33" s="196"/>
    </row>
    <row r="34" spans="2:6" ht="18.75" customHeight="1" x14ac:dyDescent="0.25">
      <c r="B34" s="193" t="s">
        <v>14</v>
      </c>
      <c r="C34" s="86">
        <v>224</v>
      </c>
      <c r="D34" s="188">
        <f>SUM(C34)/C35*100</f>
        <v>100</v>
      </c>
      <c r="F34" s="195" t="s">
        <v>45</v>
      </c>
    </row>
    <row r="35" spans="2:6" ht="18.75" customHeight="1" x14ac:dyDescent="0.25">
      <c r="B35" s="194"/>
      <c r="C35" s="86">
        <v>224</v>
      </c>
      <c r="D35" s="189"/>
      <c r="F35" s="196"/>
    </row>
    <row r="36" spans="2:6" ht="18.75" customHeight="1" x14ac:dyDescent="0.25">
      <c r="B36" s="193" t="s">
        <v>15</v>
      </c>
      <c r="C36" s="86">
        <v>86</v>
      </c>
      <c r="D36" s="188">
        <f>SUM(C36)/C37*100</f>
        <v>38.392857142857146</v>
      </c>
      <c r="F36" s="195" t="s">
        <v>45</v>
      </c>
    </row>
    <row r="37" spans="2:6" ht="18.75" customHeight="1" x14ac:dyDescent="0.25">
      <c r="B37" s="194"/>
      <c r="C37" s="86">
        <v>224</v>
      </c>
      <c r="D37" s="189"/>
      <c r="F37" s="196"/>
    </row>
    <row r="38" spans="2:6" ht="18.75" customHeight="1" x14ac:dyDescent="0.25">
      <c r="B38" s="193" t="s">
        <v>16</v>
      </c>
      <c r="C38" s="86">
        <v>154</v>
      </c>
      <c r="D38" s="188">
        <f>SUM(C38)/C39*100</f>
        <v>68.75</v>
      </c>
      <c r="F38" s="195" t="s">
        <v>45</v>
      </c>
    </row>
    <row r="39" spans="2:6" ht="18.75" customHeight="1" x14ac:dyDescent="0.25">
      <c r="B39" s="194"/>
      <c r="C39" s="86">
        <v>224</v>
      </c>
      <c r="D39" s="189"/>
      <c r="F39" s="196"/>
    </row>
    <row r="40" spans="2:6" ht="18.75" customHeight="1" x14ac:dyDescent="0.25">
      <c r="B40" s="232" t="s">
        <v>17</v>
      </c>
      <c r="C40" s="86">
        <v>224</v>
      </c>
      <c r="D40" s="234">
        <f>+C40/C41*100</f>
        <v>100</v>
      </c>
      <c r="F40" s="195" t="s">
        <v>45</v>
      </c>
    </row>
    <row r="41" spans="2:6" ht="18.75" customHeight="1" x14ac:dyDescent="0.25">
      <c r="B41" s="233"/>
      <c r="C41" s="86">
        <v>224</v>
      </c>
      <c r="D41" s="235"/>
      <c r="F41" s="196"/>
    </row>
    <row r="42" spans="2:6" ht="35.4" customHeight="1" x14ac:dyDescent="0.25">
      <c r="B42" s="80" t="s">
        <v>18</v>
      </c>
      <c r="C42" s="80" t="s">
        <v>2</v>
      </c>
      <c r="D42" s="80" t="s">
        <v>3</v>
      </c>
      <c r="F42" s="81" t="s">
        <v>43</v>
      </c>
    </row>
    <row r="43" spans="2:6" ht="19.5" customHeight="1" x14ac:dyDescent="0.25">
      <c r="B43" s="193" t="s">
        <v>19</v>
      </c>
      <c r="C43" s="83"/>
      <c r="D43" s="212" t="s">
        <v>20</v>
      </c>
      <c r="F43" s="212"/>
    </row>
    <row r="44" spans="2:6" ht="19.5" customHeight="1" x14ac:dyDescent="0.25">
      <c r="B44" s="194"/>
      <c r="C44" s="83"/>
      <c r="D44" s="213"/>
      <c r="F44" s="213"/>
    </row>
    <row r="45" spans="2:6" ht="19.5" customHeight="1" x14ac:dyDescent="0.25">
      <c r="B45" s="193" t="s">
        <v>21</v>
      </c>
      <c r="C45" s="86">
        <v>660</v>
      </c>
      <c r="D45" s="188">
        <f>SUM(C45)/C46*100</f>
        <v>11.073825503355705</v>
      </c>
      <c r="F45" s="195" t="s">
        <v>46</v>
      </c>
    </row>
    <row r="46" spans="2:6" ht="19.5" customHeight="1" x14ac:dyDescent="0.25">
      <c r="B46" s="194"/>
      <c r="C46" s="86">
        <v>5960</v>
      </c>
      <c r="D46" s="189"/>
      <c r="F46" s="196"/>
    </row>
    <row r="47" spans="2:6" ht="19.5" customHeight="1" x14ac:dyDescent="0.25">
      <c r="B47" s="193" t="s">
        <v>22</v>
      </c>
      <c r="C47" s="86">
        <v>500</v>
      </c>
      <c r="D47" s="188">
        <f>SUM(C47)/C48*100</f>
        <v>8.3892617449664435</v>
      </c>
      <c r="F47" s="195" t="s">
        <v>46</v>
      </c>
    </row>
    <row r="48" spans="2:6" ht="19.5" customHeight="1" x14ac:dyDescent="0.25">
      <c r="B48" s="194"/>
      <c r="C48" s="86">
        <v>5960</v>
      </c>
      <c r="D48" s="189"/>
      <c r="F48" s="196"/>
    </row>
    <row r="49" spans="2:6" ht="19.5" customHeight="1" x14ac:dyDescent="0.25">
      <c r="B49" s="193" t="s">
        <v>23</v>
      </c>
      <c r="C49" s="86">
        <v>33</v>
      </c>
      <c r="D49" s="188">
        <f>SUM(C49)/C50*100</f>
        <v>1.5463917525773196</v>
      </c>
      <c r="F49" s="195" t="s">
        <v>56</v>
      </c>
    </row>
    <row r="50" spans="2:6" ht="19.5" customHeight="1" x14ac:dyDescent="0.25">
      <c r="B50" s="194"/>
      <c r="C50" s="86">
        <v>2134</v>
      </c>
      <c r="D50" s="189"/>
      <c r="F50" s="196"/>
    </row>
    <row r="51" spans="2:6" ht="19.5" customHeight="1" x14ac:dyDescent="0.25">
      <c r="B51" s="193" t="s">
        <v>24</v>
      </c>
      <c r="C51" s="86">
        <v>33</v>
      </c>
      <c r="D51" s="188">
        <f>SUM(C51)/C52*100</f>
        <v>1.5463917525773196</v>
      </c>
      <c r="F51" s="195" t="s">
        <v>56</v>
      </c>
    </row>
    <row r="52" spans="2:6" ht="19.5" customHeight="1" x14ac:dyDescent="0.25">
      <c r="B52" s="194"/>
      <c r="C52" s="86">
        <v>2134</v>
      </c>
      <c r="D52" s="189"/>
      <c r="F52" s="196"/>
    </row>
    <row r="53" spans="2:6" ht="19.5" customHeight="1" x14ac:dyDescent="0.25">
      <c r="B53" s="193" t="s">
        <v>25</v>
      </c>
      <c r="C53" s="86">
        <f>8+96+96+17</f>
        <v>217</v>
      </c>
      <c r="D53" s="188">
        <f>+C53/C54*100</f>
        <v>22.58064516129032</v>
      </c>
      <c r="F53" s="195" t="s">
        <v>47</v>
      </c>
    </row>
    <row r="54" spans="2:6" ht="19.5" customHeight="1" x14ac:dyDescent="0.25">
      <c r="B54" s="194"/>
      <c r="C54" s="86">
        <f>10+926+25</f>
        <v>961</v>
      </c>
      <c r="D54" s="189"/>
      <c r="F54" s="196"/>
    </row>
    <row r="55" spans="2:6" ht="19.5" customHeight="1" x14ac:dyDescent="0.25">
      <c r="B55" s="193" t="s">
        <v>26</v>
      </c>
      <c r="C55" s="86">
        <v>39</v>
      </c>
      <c r="D55" s="188">
        <f>SUM(C55)/C56*100</f>
        <v>100</v>
      </c>
      <c r="F55" s="195" t="s">
        <v>48</v>
      </c>
    </row>
    <row r="56" spans="2:6" ht="19.5" customHeight="1" x14ac:dyDescent="0.25">
      <c r="B56" s="194"/>
      <c r="C56" s="86">
        <v>39</v>
      </c>
      <c r="D56" s="189"/>
      <c r="F56" s="196"/>
    </row>
    <row r="57" spans="2:6" ht="35.4" customHeight="1" x14ac:dyDescent="0.25">
      <c r="B57" s="80" t="s">
        <v>27</v>
      </c>
      <c r="C57" s="80" t="s">
        <v>2</v>
      </c>
      <c r="D57" s="80" t="s">
        <v>3</v>
      </c>
      <c r="F57" s="81" t="s">
        <v>43</v>
      </c>
    </row>
    <row r="58" spans="2:6" ht="19.5" customHeight="1" x14ac:dyDescent="0.25">
      <c r="B58" s="193" t="s">
        <v>28</v>
      </c>
      <c r="C58" s="105">
        <v>67</v>
      </c>
      <c r="D58" s="229">
        <f>SUM(C58)/C59*100</f>
        <v>3.1396438612933459</v>
      </c>
      <c r="F58" s="195" t="s">
        <v>49</v>
      </c>
    </row>
    <row r="59" spans="2:6" ht="19.5" customHeight="1" x14ac:dyDescent="0.25">
      <c r="B59" s="194"/>
      <c r="C59" s="106">
        <v>2134</v>
      </c>
      <c r="D59" s="230"/>
      <c r="F59" s="196"/>
    </row>
    <row r="60" spans="2:6" ht="19.5" customHeight="1" x14ac:dyDescent="0.25">
      <c r="B60" s="193" t="s">
        <v>29</v>
      </c>
      <c r="C60" s="106">
        <v>37</v>
      </c>
      <c r="D60" s="229">
        <f>SUM(C60)/C61*100</f>
        <v>49.333333333333336</v>
      </c>
      <c r="F60" s="195" t="s">
        <v>49</v>
      </c>
    </row>
    <row r="61" spans="2:6" ht="19.5" customHeight="1" x14ac:dyDescent="0.25">
      <c r="B61" s="194"/>
      <c r="C61" s="106">
        <v>75</v>
      </c>
      <c r="D61" s="230"/>
      <c r="F61" s="196"/>
    </row>
    <row r="62" spans="2:6" ht="19.5" customHeight="1" x14ac:dyDescent="0.25">
      <c r="B62" s="193" t="s">
        <v>30</v>
      </c>
      <c r="C62" s="106">
        <v>2</v>
      </c>
      <c r="D62" s="229">
        <f>SUM(C62)/C63*100</f>
        <v>2.666666666666667</v>
      </c>
      <c r="F62" s="195" t="s">
        <v>49</v>
      </c>
    </row>
    <row r="63" spans="2:6" ht="19.5" customHeight="1" x14ac:dyDescent="0.25">
      <c r="B63" s="194"/>
      <c r="C63" s="106">
        <v>75</v>
      </c>
      <c r="D63" s="230"/>
      <c r="F63" s="196"/>
    </row>
    <row r="64" spans="2:6" ht="19.5" customHeight="1" x14ac:dyDescent="0.25">
      <c r="B64" s="193" t="s">
        <v>31</v>
      </c>
      <c r="C64" s="107">
        <v>85091.29</v>
      </c>
      <c r="D64" s="229">
        <f>SUM(C64)/C65*100</f>
        <v>8.1925459225723044E-2</v>
      </c>
      <c r="F64" s="195" t="s">
        <v>49</v>
      </c>
    </row>
    <row r="65" spans="2:8" ht="19.5" customHeight="1" x14ac:dyDescent="0.25">
      <c r="B65" s="194"/>
      <c r="C65" s="108">
        <v>103864282</v>
      </c>
      <c r="D65" s="230"/>
      <c r="F65" s="196"/>
    </row>
    <row r="66" spans="2:8" ht="35.4" customHeight="1" x14ac:dyDescent="0.25">
      <c r="B66" s="80" t="s">
        <v>32</v>
      </c>
      <c r="C66" s="80" t="s">
        <v>2</v>
      </c>
      <c r="D66" s="80" t="s">
        <v>3</v>
      </c>
      <c r="F66" s="81" t="s">
        <v>43</v>
      </c>
    </row>
    <row r="67" spans="2:8" ht="18.75" customHeight="1" x14ac:dyDescent="0.25">
      <c r="B67" s="193" t="s">
        <v>33</v>
      </c>
      <c r="C67" s="86">
        <v>1793</v>
      </c>
      <c r="D67" s="227">
        <f>+C67/C68*100</f>
        <v>39.0376660134988</v>
      </c>
      <c r="F67" s="195" t="s">
        <v>147</v>
      </c>
    </row>
    <row r="68" spans="2:8" ht="18.75" customHeight="1" x14ac:dyDescent="0.25">
      <c r="B68" s="194"/>
      <c r="C68" s="86">
        <v>4593</v>
      </c>
      <c r="D68" s="228"/>
      <c r="F68" s="196"/>
    </row>
    <row r="69" spans="2:8" ht="18.75" customHeight="1" x14ac:dyDescent="0.25">
      <c r="B69" s="193" t="s">
        <v>34</v>
      </c>
      <c r="C69" s="86">
        <f>258-156</f>
        <v>102</v>
      </c>
      <c r="D69" s="188">
        <f>SUM(C69)/C70*100</f>
        <v>127.49999999999999</v>
      </c>
      <c r="F69" s="195" t="s">
        <v>50</v>
      </c>
      <c r="H69" s="239"/>
    </row>
    <row r="70" spans="2:8" ht="18.75" customHeight="1" x14ac:dyDescent="0.25">
      <c r="B70" s="194"/>
      <c r="C70" s="86">
        <v>80</v>
      </c>
      <c r="D70" s="189"/>
      <c r="F70" s="196"/>
      <c r="H70" s="239"/>
    </row>
    <row r="71" spans="2:8" ht="18.75" customHeight="1" x14ac:dyDescent="0.25">
      <c r="B71" s="193" t="s">
        <v>35</v>
      </c>
      <c r="C71" s="86">
        <v>9277</v>
      </c>
      <c r="D71" s="197">
        <f>SUM(C71)/C72</f>
        <v>4.3472352389878166</v>
      </c>
      <c r="F71" s="226" t="s">
        <v>51</v>
      </c>
      <c r="H71" s="114"/>
    </row>
    <row r="72" spans="2:8" ht="18.75" customHeight="1" x14ac:dyDescent="0.25">
      <c r="B72" s="194"/>
      <c r="C72" s="86">
        <v>2134</v>
      </c>
      <c r="D72" s="197"/>
      <c r="F72" s="226"/>
    </row>
    <row r="73" spans="2:8" ht="18.75" customHeight="1" x14ac:dyDescent="0.25">
      <c r="B73" s="193" t="s">
        <v>36</v>
      </c>
      <c r="C73" s="86">
        <v>5960</v>
      </c>
      <c r="D73" s="198">
        <f>SUM(C73)/C74</f>
        <v>18.395061728395063</v>
      </c>
      <c r="F73" s="214" t="s">
        <v>52</v>
      </c>
      <c r="H73" s="115"/>
    </row>
    <row r="74" spans="2:8" ht="18.75" customHeight="1" x14ac:dyDescent="0.25">
      <c r="B74" s="194"/>
      <c r="C74" s="86">
        <v>324</v>
      </c>
      <c r="D74" s="199"/>
      <c r="F74" s="215"/>
    </row>
    <row r="75" spans="2:8" ht="18.75" customHeight="1" x14ac:dyDescent="0.25">
      <c r="B75" s="193" t="s">
        <v>37</v>
      </c>
      <c r="C75" s="86">
        <v>5960</v>
      </c>
      <c r="D75" s="198">
        <f>SUM(C75)/C76</f>
        <v>37.484276729559745</v>
      </c>
      <c r="F75" s="195" t="s">
        <v>45</v>
      </c>
    </row>
    <row r="76" spans="2:8" ht="18.75" customHeight="1" x14ac:dyDescent="0.25">
      <c r="B76" s="194"/>
      <c r="C76" s="86">
        <v>159</v>
      </c>
      <c r="D76" s="199"/>
      <c r="F76" s="196"/>
    </row>
    <row r="77" spans="2:8" ht="18.75" customHeight="1" x14ac:dyDescent="0.25">
      <c r="B77" s="193" t="s">
        <v>38</v>
      </c>
      <c r="C77" s="86">
        <v>156</v>
      </c>
      <c r="D77" s="188">
        <f>SUM(C77)/C78*100</f>
        <v>98.113207547169807</v>
      </c>
      <c r="F77" s="195" t="s">
        <v>45</v>
      </c>
    </row>
    <row r="78" spans="2:8" ht="18.75" customHeight="1" x14ac:dyDescent="0.25">
      <c r="B78" s="194"/>
      <c r="C78" s="86">
        <v>159</v>
      </c>
      <c r="D78" s="189"/>
      <c r="F78" s="196"/>
    </row>
    <row r="79" spans="2:8" ht="18.75" customHeight="1" x14ac:dyDescent="0.25">
      <c r="B79" s="193" t="s">
        <v>39</v>
      </c>
      <c r="C79" s="109">
        <v>109307451.24000001</v>
      </c>
      <c r="D79" s="188">
        <f>SUM(C79)/C80/1000</f>
        <v>51.221860937207133</v>
      </c>
      <c r="F79" s="195" t="s">
        <v>53</v>
      </c>
    </row>
    <row r="80" spans="2:8" ht="18.75" customHeight="1" x14ac:dyDescent="0.25">
      <c r="B80" s="194"/>
      <c r="C80" s="86">
        <v>2134</v>
      </c>
      <c r="D80" s="189"/>
      <c r="F80" s="196"/>
    </row>
    <row r="81" spans="2:6" x14ac:dyDescent="0.25">
      <c r="B81" s="111"/>
      <c r="C81" s="111"/>
      <c r="D81" s="111"/>
      <c r="F81" s="111"/>
    </row>
    <row r="82" spans="2:6" ht="109.2" customHeight="1" x14ac:dyDescent="0.25">
      <c r="B82" s="112" t="s">
        <v>61</v>
      </c>
    </row>
    <row r="83" spans="2:6" x14ac:dyDescent="0.25">
      <c r="B83" s="113" t="s">
        <v>60</v>
      </c>
      <c r="C83" s="224"/>
      <c r="D83" s="224"/>
    </row>
  </sheetData>
  <mergeCells count="108">
    <mergeCell ref="B5:D5"/>
    <mergeCell ref="B6:D6"/>
    <mergeCell ref="B7:D7"/>
    <mergeCell ref="B9:B10"/>
    <mergeCell ref="D9:D10"/>
    <mergeCell ref="F9:F10"/>
    <mergeCell ref="B15:B16"/>
    <mergeCell ref="D15:D16"/>
    <mergeCell ref="F15:F16"/>
    <mergeCell ref="B17:B18"/>
    <mergeCell ref="D17:D18"/>
    <mergeCell ref="F17:F18"/>
    <mergeCell ref="B11:B12"/>
    <mergeCell ref="D11:D12"/>
    <mergeCell ref="F11:F12"/>
    <mergeCell ref="B13:B14"/>
    <mergeCell ref="D13:D14"/>
    <mergeCell ref="F13:F14"/>
    <mergeCell ref="A25:A26"/>
    <mergeCell ref="B25:B26"/>
    <mergeCell ref="D25:D26"/>
    <mergeCell ref="F25:F26"/>
    <mergeCell ref="B19:B20"/>
    <mergeCell ref="D19:D20"/>
    <mergeCell ref="F19:F20"/>
    <mergeCell ref="B21:B22"/>
    <mergeCell ref="D21:D22"/>
    <mergeCell ref="F21:F22"/>
    <mergeCell ref="B27:B28"/>
    <mergeCell ref="D27:D28"/>
    <mergeCell ref="F27:F28"/>
    <mergeCell ref="B30:B31"/>
    <mergeCell ref="D30:D31"/>
    <mergeCell ref="F30:F31"/>
    <mergeCell ref="B23:B24"/>
    <mergeCell ref="D23:D24"/>
    <mergeCell ref="F23:F24"/>
    <mergeCell ref="B36:B37"/>
    <mergeCell ref="D36:D37"/>
    <mergeCell ref="F36:F37"/>
    <mergeCell ref="B38:B39"/>
    <mergeCell ref="D38:D39"/>
    <mergeCell ref="F38:F39"/>
    <mergeCell ref="B32:B33"/>
    <mergeCell ref="D32:D33"/>
    <mergeCell ref="F32:F33"/>
    <mergeCell ref="B34:B35"/>
    <mergeCell ref="D34:D35"/>
    <mergeCell ref="F34:F35"/>
    <mergeCell ref="B45:B46"/>
    <mergeCell ref="D45:D46"/>
    <mergeCell ref="F45:F46"/>
    <mergeCell ref="B47:B48"/>
    <mergeCell ref="D47:D48"/>
    <mergeCell ref="F47:F48"/>
    <mergeCell ref="B40:B41"/>
    <mergeCell ref="D40:D41"/>
    <mergeCell ref="F40:F41"/>
    <mergeCell ref="B43:B44"/>
    <mergeCell ref="D43:D44"/>
    <mergeCell ref="F43:F44"/>
    <mergeCell ref="B53:B54"/>
    <mergeCell ref="D53:D54"/>
    <mergeCell ref="F53:F54"/>
    <mergeCell ref="B55:B56"/>
    <mergeCell ref="D55:D56"/>
    <mergeCell ref="F55:F56"/>
    <mergeCell ref="B49:B50"/>
    <mergeCell ref="D49:D50"/>
    <mergeCell ref="F49:F50"/>
    <mergeCell ref="B51:B52"/>
    <mergeCell ref="D51:D52"/>
    <mergeCell ref="F51:F52"/>
    <mergeCell ref="B62:B63"/>
    <mergeCell ref="D62:D63"/>
    <mergeCell ref="F62:F63"/>
    <mergeCell ref="B64:B65"/>
    <mergeCell ref="D64:D65"/>
    <mergeCell ref="F64:F65"/>
    <mergeCell ref="B58:B59"/>
    <mergeCell ref="D58:D59"/>
    <mergeCell ref="F58:F59"/>
    <mergeCell ref="B60:B61"/>
    <mergeCell ref="D60:D61"/>
    <mergeCell ref="F60:F61"/>
    <mergeCell ref="H69:H70"/>
    <mergeCell ref="B71:B72"/>
    <mergeCell ref="D71:D72"/>
    <mergeCell ref="F71:F72"/>
    <mergeCell ref="B73:B74"/>
    <mergeCell ref="D73:D74"/>
    <mergeCell ref="F73:F74"/>
    <mergeCell ref="B67:B68"/>
    <mergeCell ref="D67:D68"/>
    <mergeCell ref="F67:F68"/>
    <mergeCell ref="B69:B70"/>
    <mergeCell ref="D69:D70"/>
    <mergeCell ref="F69:F70"/>
    <mergeCell ref="B79:B80"/>
    <mergeCell ref="D79:D80"/>
    <mergeCell ref="F79:F80"/>
    <mergeCell ref="C83:D83"/>
    <mergeCell ref="B75:B76"/>
    <mergeCell ref="D75:D76"/>
    <mergeCell ref="F75:F76"/>
    <mergeCell ref="B77:B78"/>
    <mergeCell ref="D77:D78"/>
    <mergeCell ref="F77:F78"/>
  </mergeCells>
  <printOptions horizontalCentered="1" verticalCentered="1"/>
  <pageMargins left="0.39370078740157483" right="0.39370078740157483" top="0.39370078740157483" bottom="0.39370078740157483" header="0.31496062992125984" footer="0.31496062992125984"/>
  <pageSetup scale="45"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7030A0"/>
    <pageSetUpPr fitToPage="1"/>
  </sheetPr>
  <dimension ref="A4:H83"/>
  <sheetViews>
    <sheetView zoomScaleNormal="100" zoomScaleSheetLayoutView="75" workbookViewId="0">
      <selection activeCell="B11" sqref="B11:B12"/>
    </sheetView>
  </sheetViews>
  <sheetFormatPr baseColWidth="10" defaultColWidth="11.5546875" defaultRowHeight="18" x14ac:dyDescent="0.25"/>
  <cols>
    <col min="1" max="1" width="2.88671875" style="49" customWidth="1"/>
    <col min="2" max="2" width="77.6640625" style="49" customWidth="1"/>
    <col min="3" max="3" width="15.88671875" style="49" customWidth="1"/>
    <col min="4" max="4" width="14.6640625" style="49" customWidth="1"/>
    <col min="5" max="5" width="3.6640625" style="48" customWidth="1"/>
    <col min="6" max="6" width="24.33203125" style="49" customWidth="1"/>
    <col min="7" max="7" width="2.6640625" style="49" customWidth="1"/>
    <col min="8" max="8" width="58.6640625" style="49" customWidth="1"/>
    <col min="9" max="16384" width="11.5546875" style="49"/>
  </cols>
  <sheetData>
    <row r="4" spans="2:6" ht="25.2" x14ac:dyDescent="0.25">
      <c r="B4" s="46"/>
      <c r="C4" s="47"/>
      <c r="D4" s="47"/>
      <c r="F4" s="47"/>
    </row>
    <row r="5" spans="2:6" ht="42" customHeight="1" x14ac:dyDescent="0.25">
      <c r="B5" s="154" t="s">
        <v>144</v>
      </c>
      <c r="C5" s="154"/>
      <c r="D5" s="154"/>
    </row>
    <row r="6" spans="2:6" ht="25.2" x14ac:dyDescent="0.25">
      <c r="B6" s="155" t="s">
        <v>0</v>
      </c>
      <c r="C6" s="156"/>
      <c r="D6" s="157"/>
    </row>
    <row r="7" spans="2:6" ht="36" customHeight="1" x14ac:dyDescent="0.25">
      <c r="B7" s="158" t="s">
        <v>41</v>
      </c>
      <c r="C7" s="158"/>
      <c r="D7" s="158"/>
    </row>
    <row r="8" spans="2:6" ht="35.4" customHeight="1" x14ac:dyDescent="0.25">
      <c r="B8" s="50" t="s">
        <v>1</v>
      </c>
      <c r="C8" s="50" t="s">
        <v>2</v>
      </c>
      <c r="D8" s="50" t="s">
        <v>3</v>
      </c>
      <c r="F8" s="51" t="s">
        <v>43</v>
      </c>
    </row>
    <row r="9" spans="2:6" ht="18.75" customHeight="1" x14ac:dyDescent="0.25">
      <c r="B9" s="159" t="s">
        <v>54</v>
      </c>
      <c r="C9" s="70">
        <v>1004</v>
      </c>
      <c r="D9" s="161">
        <f>SUM(C9)/C10*100</f>
        <v>97.286821705426348</v>
      </c>
      <c r="F9" s="161" t="s">
        <v>44</v>
      </c>
    </row>
    <row r="10" spans="2:6" ht="18.75" customHeight="1" x14ac:dyDescent="0.25">
      <c r="B10" s="160"/>
      <c r="C10" s="70">
        <v>1032</v>
      </c>
      <c r="D10" s="162"/>
      <c r="F10" s="162"/>
    </row>
    <row r="11" spans="2:6" ht="18.75" customHeight="1" x14ac:dyDescent="0.25">
      <c r="B11" s="159" t="s">
        <v>4</v>
      </c>
      <c r="C11" s="70">
        <v>0</v>
      </c>
      <c r="D11" s="161">
        <f>SUM(C11)/C12*100</f>
        <v>0</v>
      </c>
      <c r="F11" s="161" t="s">
        <v>44</v>
      </c>
    </row>
    <row r="12" spans="2:6" ht="18.75" customHeight="1" x14ac:dyDescent="0.25">
      <c r="B12" s="160"/>
      <c r="C12" s="70">
        <v>2078</v>
      </c>
      <c r="D12" s="162"/>
      <c r="F12" s="162"/>
    </row>
    <row r="13" spans="2:6" ht="18.75" customHeight="1" x14ac:dyDescent="0.25">
      <c r="B13" s="159" t="s">
        <v>5</v>
      </c>
      <c r="C13" s="70">
        <v>444</v>
      </c>
      <c r="D13" s="161">
        <f>SUM(C13)/C14*100</f>
        <v>1.7457633782880511</v>
      </c>
      <c r="F13" s="161" t="s">
        <v>44</v>
      </c>
    </row>
    <row r="14" spans="2:6" ht="18.75" customHeight="1" x14ac:dyDescent="0.25">
      <c r="B14" s="160"/>
      <c r="C14" s="70">
        <v>25433</v>
      </c>
      <c r="D14" s="162"/>
      <c r="F14" s="162"/>
    </row>
    <row r="15" spans="2:6" ht="18.75" customHeight="1" x14ac:dyDescent="0.25">
      <c r="B15" s="159" t="s">
        <v>6</v>
      </c>
      <c r="C15" s="70">
        <v>968</v>
      </c>
      <c r="D15" s="161">
        <f>SUM(C15)/C16*100</f>
        <v>83.018867924528308</v>
      </c>
      <c r="F15" s="161" t="s">
        <v>44</v>
      </c>
    </row>
    <row r="16" spans="2:6" ht="18.75" customHeight="1" x14ac:dyDescent="0.25">
      <c r="B16" s="160"/>
      <c r="C16" s="70">
        <v>1166</v>
      </c>
      <c r="D16" s="162"/>
      <c r="F16" s="162"/>
    </row>
    <row r="17" spans="1:6" ht="18.75" customHeight="1" x14ac:dyDescent="0.25">
      <c r="B17" s="159" t="s">
        <v>7</v>
      </c>
      <c r="C17" s="70">
        <v>1038</v>
      </c>
      <c r="D17" s="161">
        <f>SUM(C17)/C18*100</f>
        <v>100</v>
      </c>
      <c r="F17" s="161" t="s">
        <v>44</v>
      </c>
    </row>
    <row r="18" spans="1:6" ht="18.75" customHeight="1" x14ac:dyDescent="0.25">
      <c r="B18" s="160"/>
      <c r="C18" s="70">
        <v>1038</v>
      </c>
      <c r="D18" s="162"/>
      <c r="F18" s="162"/>
    </row>
    <row r="19" spans="1:6" ht="18.75" customHeight="1" x14ac:dyDescent="0.25">
      <c r="B19" s="159" t="s">
        <v>8</v>
      </c>
      <c r="C19" s="70">
        <v>1038</v>
      </c>
      <c r="D19" s="161">
        <f>SUM(C19)/C20*100</f>
        <v>93.766937669376688</v>
      </c>
      <c r="F19" s="161" t="s">
        <v>44</v>
      </c>
    </row>
    <row r="20" spans="1:6" ht="18.75" customHeight="1" x14ac:dyDescent="0.25">
      <c r="B20" s="160"/>
      <c r="C20" s="70">
        <v>1107</v>
      </c>
      <c r="D20" s="162"/>
      <c r="F20" s="162"/>
    </row>
    <row r="21" spans="1:6" ht="18.75" customHeight="1" x14ac:dyDescent="0.25">
      <c r="B21" s="159" t="s">
        <v>9</v>
      </c>
      <c r="C21" s="70">
        <v>1926</v>
      </c>
      <c r="D21" s="161">
        <f>SUM(C21)/C22*100</f>
        <v>92.685274302213671</v>
      </c>
      <c r="F21" s="161" t="s">
        <v>44</v>
      </c>
    </row>
    <row r="22" spans="1:6" ht="18.75" customHeight="1" x14ac:dyDescent="0.25">
      <c r="B22" s="160"/>
      <c r="C22" s="70">
        <v>2078</v>
      </c>
      <c r="D22" s="162"/>
      <c r="F22" s="162"/>
    </row>
    <row r="23" spans="1:6" ht="18.75" customHeight="1" x14ac:dyDescent="0.25">
      <c r="B23" s="159" t="s">
        <v>10</v>
      </c>
      <c r="C23" s="70">
        <v>177</v>
      </c>
      <c r="D23" s="161">
        <f>SUM(C23)/C24*100</f>
        <v>8.5178055822906629</v>
      </c>
      <c r="F23" s="161" t="s">
        <v>44</v>
      </c>
    </row>
    <row r="24" spans="1:6" ht="18.75" customHeight="1" x14ac:dyDescent="0.25">
      <c r="B24" s="160"/>
      <c r="C24" s="70">
        <v>2078</v>
      </c>
      <c r="D24" s="162"/>
      <c r="F24" s="162"/>
    </row>
    <row r="25" spans="1:6" ht="18.75" customHeight="1" x14ac:dyDescent="0.25">
      <c r="A25" s="168"/>
      <c r="B25" s="159" t="s">
        <v>63</v>
      </c>
      <c r="C25" s="70">
        <v>2078</v>
      </c>
      <c r="D25" s="161">
        <f>+C25/C26*100</f>
        <v>100</v>
      </c>
      <c r="F25" s="161" t="s">
        <v>64</v>
      </c>
    </row>
    <row r="26" spans="1:6" ht="18.75" customHeight="1" x14ac:dyDescent="0.25">
      <c r="A26" s="168"/>
      <c r="B26" s="160"/>
      <c r="C26" s="70">
        <v>2078</v>
      </c>
      <c r="D26" s="162"/>
      <c r="F26" s="162"/>
    </row>
    <row r="27" spans="1:6" ht="18.75" customHeight="1" x14ac:dyDescent="0.25">
      <c r="B27" s="159" t="s">
        <v>103</v>
      </c>
      <c r="C27" s="70">
        <v>182</v>
      </c>
      <c r="D27" s="161">
        <f>+C27/C28*100</f>
        <v>3.0052840158520477</v>
      </c>
      <c r="F27" s="161" t="s">
        <v>44</v>
      </c>
    </row>
    <row r="28" spans="1:6" ht="18.75" customHeight="1" x14ac:dyDescent="0.25">
      <c r="B28" s="160"/>
      <c r="C28" s="70">
        <v>6056</v>
      </c>
      <c r="D28" s="162"/>
      <c r="F28" s="162"/>
    </row>
    <row r="29" spans="1:6" ht="35.4" customHeight="1" x14ac:dyDescent="0.25">
      <c r="B29" s="50" t="s">
        <v>11</v>
      </c>
      <c r="C29" s="50" t="s">
        <v>2</v>
      </c>
      <c r="D29" s="50" t="s">
        <v>3</v>
      </c>
      <c r="F29" s="51" t="s">
        <v>43</v>
      </c>
    </row>
    <row r="30" spans="1:6" ht="18.75" customHeight="1" x14ac:dyDescent="0.25">
      <c r="B30" s="159" t="s">
        <v>12</v>
      </c>
      <c r="C30" s="70">
        <v>2078</v>
      </c>
      <c r="D30" s="166">
        <f>SUM(C30)/C31</f>
        <v>8.9184549356223179</v>
      </c>
      <c r="F30" s="163" t="s">
        <v>45</v>
      </c>
    </row>
    <row r="31" spans="1:6" ht="18.75" customHeight="1" x14ac:dyDescent="0.25">
      <c r="B31" s="160"/>
      <c r="C31" s="70">
        <v>233</v>
      </c>
      <c r="D31" s="167"/>
      <c r="F31" s="164"/>
    </row>
    <row r="32" spans="1:6" ht="18.75" customHeight="1" x14ac:dyDescent="0.25">
      <c r="B32" s="159" t="s">
        <v>13</v>
      </c>
      <c r="C32" s="70">
        <v>222</v>
      </c>
      <c r="D32" s="161">
        <f>SUM(C32)/C33*100</f>
        <v>95.278969957081543</v>
      </c>
      <c r="F32" s="163" t="s">
        <v>45</v>
      </c>
    </row>
    <row r="33" spans="2:6" ht="18.75" customHeight="1" x14ac:dyDescent="0.25">
      <c r="B33" s="160"/>
      <c r="C33" s="70">
        <v>233</v>
      </c>
      <c r="D33" s="162"/>
      <c r="F33" s="164"/>
    </row>
    <row r="34" spans="2:6" ht="18.75" customHeight="1" x14ac:dyDescent="0.25">
      <c r="B34" s="159" t="s">
        <v>14</v>
      </c>
      <c r="C34" s="70">
        <v>233</v>
      </c>
      <c r="D34" s="161">
        <f>SUM(C34)/C35*100</f>
        <v>100</v>
      </c>
      <c r="F34" s="163" t="s">
        <v>45</v>
      </c>
    </row>
    <row r="35" spans="2:6" ht="18.75" customHeight="1" x14ac:dyDescent="0.25">
      <c r="B35" s="160"/>
      <c r="C35" s="70">
        <v>233</v>
      </c>
      <c r="D35" s="162"/>
      <c r="F35" s="164"/>
    </row>
    <row r="36" spans="2:6" ht="18.75" customHeight="1" x14ac:dyDescent="0.25">
      <c r="B36" s="159" t="s">
        <v>15</v>
      </c>
      <c r="C36" s="70">
        <v>104</v>
      </c>
      <c r="D36" s="161">
        <f>SUM(C36)/C37*100</f>
        <v>44.63519313304721</v>
      </c>
      <c r="F36" s="163" t="s">
        <v>45</v>
      </c>
    </row>
    <row r="37" spans="2:6" ht="18.75" customHeight="1" x14ac:dyDescent="0.25">
      <c r="B37" s="160"/>
      <c r="C37" s="70">
        <v>233</v>
      </c>
      <c r="D37" s="162"/>
      <c r="F37" s="164"/>
    </row>
    <row r="38" spans="2:6" ht="18.75" customHeight="1" x14ac:dyDescent="0.25">
      <c r="B38" s="159" t="s">
        <v>16</v>
      </c>
      <c r="C38" s="70">
        <v>154</v>
      </c>
      <c r="D38" s="161">
        <f>SUM(C38)/C39*100</f>
        <v>66.094420600858371</v>
      </c>
      <c r="F38" s="163" t="s">
        <v>45</v>
      </c>
    </row>
    <row r="39" spans="2:6" ht="18.75" customHeight="1" x14ac:dyDescent="0.25">
      <c r="B39" s="160"/>
      <c r="C39" s="70">
        <v>233</v>
      </c>
      <c r="D39" s="162"/>
      <c r="F39" s="164"/>
    </row>
    <row r="40" spans="2:6" ht="18.75" customHeight="1" x14ac:dyDescent="0.25">
      <c r="B40" s="169" t="s">
        <v>17</v>
      </c>
      <c r="C40" s="70">
        <v>233</v>
      </c>
      <c r="D40" s="171">
        <f>+C40/C41*100</f>
        <v>100</v>
      </c>
      <c r="F40" s="163" t="s">
        <v>45</v>
      </c>
    </row>
    <row r="41" spans="2:6" ht="18.75" customHeight="1" x14ac:dyDescent="0.25">
      <c r="B41" s="170"/>
      <c r="C41" s="70">
        <v>233</v>
      </c>
      <c r="D41" s="172"/>
      <c r="F41" s="164"/>
    </row>
    <row r="42" spans="2:6" ht="35.4" customHeight="1" x14ac:dyDescent="0.25">
      <c r="B42" s="50" t="s">
        <v>18</v>
      </c>
      <c r="C42" s="50" t="s">
        <v>2</v>
      </c>
      <c r="D42" s="50" t="s">
        <v>3</v>
      </c>
      <c r="F42" s="51" t="s">
        <v>43</v>
      </c>
    </row>
    <row r="43" spans="2:6" ht="19.5" customHeight="1" x14ac:dyDescent="0.25">
      <c r="B43" s="159" t="s">
        <v>19</v>
      </c>
      <c r="C43" s="52"/>
      <c r="D43" s="173" t="s">
        <v>20</v>
      </c>
      <c r="F43" s="173"/>
    </row>
    <row r="44" spans="2:6" ht="19.5" customHeight="1" x14ac:dyDescent="0.25">
      <c r="B44" s="160"/>
      <c r="C44" s="52"/>
      <c r="D44" s="174"/>
      <c r="F44" s="174"/>
    </row>
    <row r="45" spans="2:6" ht="19.5" customHeight="1" x14ac:dyDescent="0.25">
      <c r="B45" s="159" t="s">
        <v>21</v>
      </c>
      <c r="C45" s="70">
        <v>1793</v>
      </c>
      <c r="D45" s="161">
        <f>SUM(C45)/C46*100</f>
        <v>29.607001321003963</v>
      </c>
      <c r="F45" s="163" t="s">
        <v>46</v>
      </c>
    </row>
    <row r="46" spans="2:6" ht="19.5" customHeight="1" x14ac:dyDescent="0.25">
      <c r="B46" s="160"/>
      <c r="C46" s="70">
        <v>6056</v>
      </c>
      <c r="D46" s="162"/>
      <c r="F46" s="164"/>
    </row>
    <row r="47" spans="2:6" ht="19.5" customHeight="1" x14ac:dyDescent="0.25">
      <c r="B47" s="159" t="s">
        <v>22</v>
      </c>
      <c r="C47" s="70">
        <v>1365</v>
      </c>
      <c r="D47" s="161">
        <f>SUM(C47)/C48*100</f>
        <v>22.539630118890358</v>
      </c>
      <c r="F47" s="163" t="s">
        <v>46</v>
      </c>
    </row>
    <row r="48" spans="2:6" ht="19.5" customHeight="1" x14ac:dyDescent="0.25">
      <c r="B48" s="160"/>
      <c r="C48" s="70">
        <v>6056</v>
      </c>
      <c r="D48" s="162"/>
      <c r="F48" s="164"/>
    </row>
    <row r="49" spans="2:6" ht="19.5" customHeight="1" x14ac:dyDescent="0.25">
      <c r="B49" s="159" t="s">
        <v>23</v>
      </c>
      <c r="C49" s="70">
        <v>449</v>
      </c>
      <c r="D49" s="161">
        <f>SUM(C49)/C50*100</f>
        <v>21.607314725697787</v>
      </c>
      <c r="F49" s="163" t="s">
        <v>56</v>
      </c>
    </row>
    <row r="50" spans="2:6" ht="19.5" customHeight="1" x14ac:dyDescent="0.25">
      <c r="B50" s="160"/>
      <c r="C50" s="70">
        <v>2078</v>
      </c>
      <c r="D50" s="162"/>
      <c r="F50" s="164"/>
    </row>
    <row r="51" spans="2:6" ht="19.5" customHeight="1" x14ac:dyDescent="0.25">
      <c r="B51" s="159" t="s">
        <v>24</v>
      </c>
      <c r="C51" s="70">
        <v>1238</v>
      </c>
      <c r="D51" s="161">
        <f>SUM(C51)/C52*100</f>
        <v>59.576515880654476</v>
      </c>
      <c r="F51" s="163" t="s">
        <v>56</v>
      </c>
    </row>
    <row r="52" spans="2:6" ht="19.5" customHeight="1" x14ac:dyDescent="0.25">
      <c r="B52" s="160"/>
      <c r="C52" s="70">
        <v>2078</v>
      </c>
      <c r="D52" s="162"/>
      <c r="F52" s="164"/>
    </row>
    <row r="53" spans="2:6" ht="19.5" customHeight="1" x14ac:dyDescent="0.25">
      <c r="B53" s="159" t="s">
        <v>25</v>
      </c>
      <c r="C53" s="70">
        <v>314</v>
      </c>
      <c r="D53" s="161">
        <f>+C53/C54*100</f>
        <v>31.150793650793652</v>
      </c>
      <c r="F53" s="163" t="s">
        <v>47</v>
      </c>
    </row>
    <row r="54" spans="2:6" ht="19.5" customHeight="1" x14ac:dyDescent="0.25">
      <c r="B54" s="160"/>
      <c r="C54" s="70">
        <v>1008</v>
      </c>
      <c r="D54" s="162"/>
      <c r="F54" s="164"/>
    </row>
    <row r="55" spans="2:6" ht="19.5" customHeight="1" x14ac:dyDescent="0.25">
      <c r="B55" s="159" t="s">
        <v>26</v>
      </c>
      <c r="C55" s="70">
        <v>31</v>
      </c>
      <c r="D55" s="161">
        <f>SUM(C55)/C56*100</f>
        <v>100</v>
      </c>
      <c r="F55" s="163" t="s">
        <v>48</v>
      </c>
    </row>
    <row r="56" spans="2:6" ht="19.5" customHeight="1" x14ac:dyDescent="0.25">
      <c r="B56" s="160"/>
      <c r="C56" s="70">
        <v>31</v>
      </c>
      <c r="D56" s="162"/>
      <c r="F56" s="164"/>
    </row>
    <row r="57" spans="2:6" ht="35.4" customHeight="1" x14ac:dyDescent="0.25">
      <c r="B57" s="50" t="s">
        <v>27</v>
      </c>
      <c r="C57" s="50" t="s">
        <v>2</v>
      </c>
      <c r="D57" s="50" t="s">
        <v>3</v>
      </c>
      <c r="F57" s="51" t="s">
        <v>43</v>
      </c>
    </row>
    <row r="58" spans="2:6" ht="19.5" customHeight="1" x14ac:dyDescent="0.25">
      <c r="B58" s="159" t="s">
        <v>28</v>
      </c>
      <c r="C58" s="71">
        <v>161.84</v>
      </c>
      <c r="D58" s="176">
        <f>SUM(C58)/C59*100</f>
        <v>7.85997357992074</v>
      </c>
      <c r="F58" s="163" t="s">
        <v>49</v>
      </c>
    </row>
    <row r="59" spans="2:6" ht="19.5" customHeight="1" x14ac:dyDescent="0.25">
      <c r="B59" s="160"/>
      <c r="C59" s="72">
        <v>2059.04</v>
      </c>
      <c r="D59" s="177"/>
      <c r="F59" s="164"/>
    </row>
    <row r="60" spans="2:6" ht="19.5" customHeight="1" x14ac:dyDescent="0.25">
      <c r="B60" s="159" t="s">
        <v>29</v>
      </c>
      <c r="C60" s="72">
        <v>20.400000000000002</v>
      </c>
      <c r="D60" s="176">
        <f>SUM(C60)/C61*100</f>
        <v>54.054054054054056</v>
      </c>
      <c r="F60" s="163" t="s">
        <v>49</v>
      </c>
    </row>
    <row r="61" spans="2:6" ht="19.5" customHeight="1" x14ac:dyDescent="0.25">
      <c r="B61" s="160"/>
      <c r="C61" s="72">
        <v>37.74</v>
      </c>
      <c r="D61" s="177"/>
      <c r="F61" s="164"/>
    </row>
    <row r="62" spans="2:6" ht="19.5" customHeight="1" x14ac:dyDescent="0.25">
      <c r="B62" s="159" t="s">
        <v>30</v>
      </c>
      <c r="C62" s="72">
        <v>3.06</v>
      </c>
      <c r="D62" s="176">
        <f>SUM(C62)/C63*100</f>
        <v>8.108108108108107</v>
      </c>
      <c r="F62" s="163" t="s">
        <v>49</v>
      </c>
    </row>
    <row r="63" spans="2:6" ht="19.5" customHeight="1" x14ac:dyDescent="0.25">
      <c r="B63" s="160"/>
      <c r="C63" s="72">
        <v>37.74</v>
      </c>
      <c r="D63" s="177"/>
      <c r="F63" s="164"/>
    </row>
    <row r="64" spans="2:6" ht="19.5" customHeight="1" x14ac:dyDescent="0.25">
      <c r="B64" s="159" t="s">
        <v>31</v>
      </c>
      <c r="C64" s="72">
        <v>2889991</v>
      </c>
      <c r="D64" s="176">
        <f>SUM(C64)/C65*100</f>
        <v>7.0596193097665489</v>
      </c>
      <c r="F64" s="53" t="s">
        <v>136</v>
      </c>
    </row>
    <row r="65" spans="2:8" ht="19.5" customHeight="1" x14ac:dyDescent="0.25">
      <c r="B65" s="160"/>
      <c r="C65" s="72">
        <v>40936924.120000005</v>
      </c>
      <c r="D65" s="177"/>
      <c r="F65" s="54" t="s">
        <v>53</v>
      </c>
    </row>
    <row r="66" spans="2:8" ht="35.4" customHeight="1" x14ac:dyDescent="0.25">
      <c r="B66" s="50" t="s">
        <v>32</v>
      </c>
      <c r="C66" s="50" t="s">
        <v>2</v>
      </c>
      <c r="D66" s="50" t="s">
        <v>3</v>
      </c>
      <c r="F66" s="51" t="s">
        <v>43</v>
      </c>
    </row>
    <row r="67" spans="2:8" ht="18.75" customHeight="1" x14ac:dyDescent="0.25">
      <c r="B67" s="159" t="s">
        <v>33</v>
      </c>
      <c r="C67" s="70">
        <v>3756</v>
      </c>
      <c r="D67" s="180">
        <f>+C67/C68*100</f>
        <v>56.608892238131126</v>
      </c>
      <c r="F67" s="53" t="s">
        <v>138</v>
      </c>
    </row>
    <row r="68" spans="2:8" ht="18.75" customHeight="1" x14ac:dyDescent="0.25">
      <c r="B68" s="160"/>
      <c r="C68" s="70">
        <v>6635</v>
      </c>
      <c r="D68" s="181"/>
      <c r="F68" s="54" t="s">
        <v>135</v>
      </c>
    </row>
    <row r="69" spans="2:8" ht="18.75" customHeight="1" x14ac:dyDescent="0.25">
      <c r="B69" s="159" t="s">
        <v>34</v>
      </c>
      <c r="C69" s="70">
        <v>38</v>
      </c>
      <c r="D69" s="161">
        <f>SUM(C69)/C70*100</f>
        <v>67.857142857142861</v>
      </c>
      <c r="F69" s="55" t="s">
        <v>136</v>
      </c>
      <c r="H69" s="242"/>
    </row>
    <row r="70" spans="2:8" ht="18.75" customHeight="1" x14ac:dyDescent="0.25">
      <c r="B70" s="160"/>
      <c r="C70" s="70">
        <v>56</v>
      </c>
      <c r="D70" s="162"/>
      <c r="F70" s="54" t="s">
        <v>50</v>
      </c>
      <c r="H70" s="242"/>
    </row>
    <row r="71" spans="2:8" ht="18.75" customHeight="1" x14ac:dyDescent="0.25">
      <c r="B71" s="159" t="s">
        <v>35</v>
      </c>
      <c r="C71" s="70">
        <v>10710</v>
      </c>
      <c r="D71" s="243">
        <f>SUM(C71)/C72</f>
        <v>5.1539942252165547</v>
      </c>
      <c r="F71" s="179" t="s">
        <v>51</v>
      </c>
      <c r="H71" s="56"/>
    </row>
    <row r="72" spans="2:8" ht="18.75" customHeight="1" x14ac:dyDescent="0.25">
      <c r="B72" s="160"/>
      <c r="C72" s="74">
        <v>2078</v>
      </c>
      <c r="D72" s="243"/>
      <c r="F72" s="179"/>
    </row>
    <row r="73" spans="2:8" ht="18.75" customHeight="1" x14ac:dyDescent="0.25">
      <c r="B73" s="159" t="s">
        <v>36</v>
      </c>
      <c r="C73" s="70">
        <v>2078</v>
      </c>
      <c r="D73" s="166">
        <f>SUM(C73)/C74</f>
        <v>6.4534161490683228</v>
      </c>
      <c r="F73" s="166" t="s">
        <v>52</v>
      </c>
    </row>
    <row r="74" spans="2:8" ht="18.75" customHeight="1" x14ac:dyDescent="0.25">
      <c r="B74" s="160"/>
      <c r="C74" s="70">
        <v>322</v>
      </c>
      <c r="D74" s="167"/>
      <c r="F74" s="167"/>
    </row>
    <row r="75" spans="2:8" ht="18.75" customHeight="1" x14ac:dyDescent="0.25">
      <c r="B75" s="159" t="s">
        <v>37</v>
      </c>
      <c r="C75" s="70">
        <v>2078</v>
      </c>
      <c r="D75" s="166">
        <f>SUM(C75)/C76</f>
        <v>18.553571428571427</v>
      </c>
      <c r="F75" s="163" t="s">
        <v>45</v>
      </c>
    </row>
    <row r="76" spans="2:8" ht="18.75" customHeight="1" x14ac:dyDescent="0.25">
      <c r="B76" s="160"/>
      <c r="C76" s="70">
        <v>112</v>
      </c>
      <c r="D76" s="167"/>
      <c r="F76" s="164"/>
    </row>
    <row r="77" spans="2:8" ht="18.75" customHeight="1" x14ac:dyDescent="0.25">
      <c r="B77" s="159" t="s">
        <v>38</v>
      </c>
      <c r="C77" s="70">
        <v>112</v>
      </c>
      <c r="D77" s="161">
        <f>SUM(C77)/C78*100</f>
        <v>100</v>
      </c>
      <c r="F77" s="163" t="s">
        <v>45</v>
      </c>
    </row>
    <row r="78" spans="2:8" ht="18.75" customHeight="1" x14ac:dyDescent="0.25">
      <c r="B78" s="160"/>
      <c r="C78" s="70">
        <v>112</v>
      </c>
      <c r="D78" s="162"/>
      <c r="F78" s="164"/>
    </row>
    <row r="79" spans="2:8" ht="18.75" customHeight="1" x14ac:dyDescent="0.25">
      <c r="B79" s="159" t="s">
        <v>39</v>
      </c>
      <c r="C79" s="73">
        <v>120402718</v>
      </c>
      <c r="D79" s="161">
        <f>SUM(C79)/C80/1000</f>
        <v>57.941635226179017</v>
      </c>
      <c r="F79" s="161" t="s">
        <v>53</v>
      </c>
    </row>
    <row r="80" spans="2:8" ht="18.75" customHeight="1" x14ac:dyDescent="0.25">
      <c r="B80" s="160"/>
      <c r="C80" s="70">
        <v>2078</v>
      </c>
      <c r="D80" s="162"/>
      <c r="F80" s="162"/>
    </row>
    <row r="81" spans="2:6" x14ac:dyDescent="0.25">
      <c r="B81" s="57"/>
      <c r="C81" s="57"/>
      <c r="D81" s="57"/>
      <c r="F81" s="57"/>
    </row>
    <row r="82" spans="2:6" ht="109.2" customHeight="1" x14ac:dyDescent="0.5">
      <c r="B82" s="58" t="s">
        <v>61</v>
      </c>
    </row>
    <row r="83" spans="2:6" x14ac:dyDescent="0.25">
      <c r="B83" s="59" t="s">
        <v>60</v>
      </c>
      <c r="C83" s="165"/>
      <c r="D83" s="165"/>
    </row>
  </sheetData>
  <mergeCells count="105">
    <mergeCell ref="A25:A26"/>
    <mergeCell ref="B25:B26"/>
    <mergeCell ref="D25:D26"/>
    <mergeCell ref="F25:F26"/>
    <mergeCell ref="B27:B28"/>
    <mergeCell ref="D27:D28"/>
    <mergeCell ref="F27:F28"/>
    <mergeCell ref="F17:F18"/>
    <mergeCell ref="D17:D18"/>
    <mergeCell ref="B17:B18"/>
    <mergeCell ref="B23:B24"/>
    <mergeCell ref="D21:D22"/>
    <mergeCell ref="B21:B22"/>
    <mergeCell ref="F19:F20"/>
    <mergeCell ref="D19:D20"/>
    <mergeCell ref="B19:B20"/>
    <mergeCell ref="F21:F22"/>
    <mergeCell ref="F23:F24"/>
    <mergeCell ref="D23:D24"/>
    <mergeCell ref="F15:F16"/>
    <mergeCell ref="D15:D16"/>
    <mergeCell ref="B15:B16"/>
    <mergeCell ref="D9:D10"/>
    <mergeCell ref="B9:B10"/>
    <mergeCell ref="F13:F14"/>
    <mergeCell ref="D13:D14"/>
    <mergeCell ref="B13:B14"/>
    <mergeCell ref="F11:F12"/>
    <mergeCell ref="D11:D12"/>
    <mergeCell ref="B11:B12"/>
    <mergeCell ref="F60:F61"/>
    <mergeCell ref="F62:F63"/>
    <mergeCell ref="B71:B72"/>
    <mergeCell ref="D71:D72"/>
    <mergeCell ref="F71:F72"/>
    <mergeCell ref="B67:B68"/>
    <mergeCell ref="D67:D68"/>
    <mergeCell ref="C83:D83"/>
    <mergeCell ref="B75:B76"/>
    <mergeCell ref="D75:D76"/>
    <mergeCell ref="B73:B74"/>
    <mergeCell ref="D73:D74"/>
    <mergeCell ref="F73:F74"/>
    <mergeCell ref="F75:F76"/>
    <mergeCell ref="F79:F80"/>
    <mergeCell ref="D79:D80"/>
    <mergeCell ref="B79:B80"/>
    <mergeCell ref="F77:F78"/>
    <mergeCell ref="D77:D78"/>
    <mergeCell ref="B77:B78"/>
    <mergeCell ref="D64:D65"/>
    <mergeCell ref="B62:B63"/>
    <mergeCell ref="D62:D63"/>
    <mergeCell ref="B60:B61"/>
    <mergeCell ref="F47:F48"/>
    <mergeCell ref="F49:F50"/>
    <mergeCell ref="F51:F52"/>
    <mergeCell ref="F53:F54"/>
    <mergeCell ref="B58:B59"/>
    <mergeCell ref="D58:D59"/>
    <mergeCell ref="B55:B56"/>
    <mergeCell ref="D55:D56"/>
    <mergeCell ref="F55:F56"/>
    <mergeCell ref="F58:F59"/>
    <mergeCell ref="B49:B50"/>
    <mergeCell ref="D49:D50"/>
    <mergeCell ref="B47:B48"/>
    <mergeCell ref="D47:D48"/>
    <mergeCell ref="B53:B54"/>
    <mergeCell ref="D53:D54"/>
    <mergeCell ref="B51:B52"/>
    <mergeCell ref="D51:D52"/>
    <mergeCell ref="D45:D46"/>
    <mergeCell ref="B43:B44"/>
    <mergeCell ref="D43:D44"/>
    <mergeCell ref="F43:F44"/>
    <mergeCell ref="F45:F46"/>
    <mergeCell ref="F38:F39"/>
    <mergeCell ref="F40:F41"/>
    <mergeCell ref="B38:B39"/>
    <mergeCell ref="D38:D39"/>
    <mergeCell ref="D60:D61"/>
    <mergeCell ref="H69:H70"/>
    <mergeCell ref="B5:D5"/>
    <mergeCell ref="B6:D6"/>
    <mergeCell ref="B7:D7"/>
    <mergeCell ref="F9:F10"/>
    <mergeCell ref="B69:B70"/>
    <mergeCell ref="D69:D70"/>
    <mergeCell ref="B30:B31"/>
    <mergeCell ref="D30:D31"/>
    <mergeCell ref="F30:F31"/>
    <mergeCell ref="F32:F33"/>
    <mergeCell ref="B32:B33"/>
    <mergeCell ref="D32:D33"/>
    <mergeCell ref="B36:B37"/>
    <mergeCell ref="D36:D37"/>
    <mergeCell ref="B34:B35"/>
    <mergeCell ref="D34:D35"/>
    <mergeCell ref="B64:B65"/>
    <mergeCell ref="B40:B41"/>
    <mergeCell ref="D40:D41"/>
    <mergeCell ref="F34:F35"/>
    <mergeCell ref="F36:F37"/>
    <mergeCell ref="B45:B46"/>
  </mergeCells>
  <printOptions horizontalCentered="1" verticalCentered="1"/>
  <pageMargins left="0.39370078740157483" right="0.39370078740157483" top="0.39370078740157483" bottom="0.39370078740157483" header="0.31496062992125984" footer="0.31496062992125984"/>
  <pageSetup scale="45" orientation="portrait" r:id="rId1"/>
  <headerFooter alignWithMargins="0"/>
  <ignoredErrors>
    <ignoredError sqref="D53"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pageSetUpPr fitToPage="1"/>
  </sheetPr>
  <dimension ref="A4:H83"/>
  <sheetViews>
    <sheetView topLeftCell="A59" zoomScaleNormal="100" zoomScaleSheetLayoutView="75" workbookViewId="0">
      <selection activeCell="D67" sqref="C67:D68"/>
    </sheetView>
  </sheetViews>
  <sheetFormatPr baseColWidth="10" defaultColWidth="11.5546875" defaultRowHeight="18" x14ac:dyDescent="0.25"/>
  <cols>
    <col min="1" max="1" width="2.88671875" style="49" customWidth="1"/>
    <col min="2" max="2" width="77.6640625" style="49" customWidth="1"/>
    <col min="3" max="3" width="15.6640625" style="49" customWidth="1"/>
    <col min="4" max="4" width="14.6640625" style="49" customWidth="1"/>
    <col min="5" max="5" width="3.6640625" style="48" customWidth="1"/>
    <col min="6" max="6" width="24.33203125" style="49" customWidth="1"/>
    <col min="7" max="7" width="2.44140625" style="49" customWidth="1"/>
    <col min="8" max="8" width="76.6640625" style="49" customWidth="1"/>
    <col min="9" max="16384" width="11.5546875" style="49"/>
  </cols>
  <sheetData>
    <row r="4" spans="2:6" ht="25.2" x14ac:dyDescent="0.25">
      <c r="B4" s="46"/>
      <c r="C4" s="47"/>
      <c r="D4" s="47"/>
      <c r="F4" s="47"/>
    </row>
    <row r="5" spans="2:6" ht="89.4" customHeight="1" x14ac:dyDescent="0.25">
      <c r="B5" s="154" t="s">
        <v>185</v>
      </c>
      <c r="C5" s="154"/>
      <c r="D5" s="154"/>
    </row>
    <row r="6" spans="2:6" ht="25.2" x14ac:dyDescent="0.25">
      <c r="B6" s="155" t="s">
        <v>0</v>
      </c>
      <c r="C6" s="156"/>
      <c r="D6" s="157"/>
    </row>
    <row r="7" spans="2:6" ht="36" customHeight="1" x14ac:dyDescent="0.25">
      <c r="B7" s="158" t="s">
        <v>40</v>
      </c>
      <c r="C7" s="158"/>
      <c r="D7" s="158"/>
    </row>
    <row r="8" spans="2:6" ht="30.6" customHeight="1" x14ac:dyDescent="0.25">
      <c r="B8" s="50" t="s">
        <v>1</v>
      </c>
      <c r="C8" s="50" t="s">
        <v>2</v>
      </c>
      <c r="D8" s="50" t="s">
        <v>3</v>
      </c>
      <c r="F8" s="51" t="s">
        <v>43</v>
      </c>
    </row>
    <row r="9" spans="2:6" ht="18.75" customHeight="1" x14ac:dyDescent="0.25">
      <c r="B9" s="159" t="s">
        <v>134</v>
      </c>
      <c r="C9" s="117">
        <v>2412</v>
      </c>
      <c r="D9" s="244">
        <f>SUM(C9)/C10*100</f>
        <v>71.40319715808171</v>
      </c>
      <c r="E9" s="47"/>
      <c r="F9" s="163" t="s">
        <v>44</v>
      </c>
    </row>
    <row r="10" spans="2:6" ht="18.75" customHeight="1" x14ac:dyDescent="0.25">
      <c r="B10" s="160"/>
      <c r="C10" s="117">
        <v>3378</v>
      </c>
      <c r="D10" s="245"/>
      <c r="E10" s="47"/>
      <c r="F10" s="164"/>
    </row>
    <row r="11" spans="2:6" ht="18.75" customHeight="1" x14ac:dyDescent="0.25">
      <c r="B11" s="159" t="s">
        <v>4</v>
      </c>
      <c r="C11" s="117">
        <v>304</v>
      </c>
      <c r="D11" s="244">
        <f>SUM(C11)/C12*100</f>
        <v>6.8237934904601572</v>
      </c>
      <c r="E11" s="47"/>
      <c r="F11" s="163" t="s">
        <v>44</v>
      </c>
    </row>
    <row r="12" spans="2:6" ht="18.75" customHeight="1" x14ac:dyDescent="0.25">
      <c r="B12" s="160"/>
      <c r="C12" s="117">
        <v>4455</v>
      </c>
      <c r="D12" s="245"/>
      <c r="E12" s="47"/>
      <c r="F12" s="164"/>
    </row>
    <row r="13" spans="2:6" ht="18.75" customHeight="1" x14ac:dyDescent="0.25">
      <c r="B13" s="159" t="s">
        <v>5</v>
      </c>
      <c r="C13" s="117">
        <v>1024</v>
      </c>
      <c r="D13" s="244">
        <f>SUM(C13)/C14*100</f>
        <v>8.586282072782156</v>
      </c>
      <c r="E13" s="47"/>
      <c r="F13" s="163" t="s">
        <v>44</v>
      </c>
    </row>
    <row r="14" spans="2:6" ht="18.75" customHeight="1" x14ac:dyDescent="0.25">
      <c r="B14" s="160"/>
      <c r="C14" s="117">
        <v>11926</v>
      </c>
      <c r="D14" s="245"/>
      <c r="E14" s="47"/>
      <c r="F14" s="164"/>
    </row>
    <row r="15" spans="2:6" ht="18.75" customHeight="1" x14ac:dyDescent="0.25">
      <c r="B15" s="159" t="s">
        <v>6</v>
      </c>
      <c r="C15" s="117">
        <v>1218</v>
      </c>
      <c r="D15" s="244">
        <f>+C15/C16*100</f>
        <v>55.138071525577182</v>
      </c>
      <c r="E15" s="47"/>
      <c r="F15" s="163" t="s">
        <v>44</v>
      </c>
    </row>
    <row r="16" spans="2:6" ht="18.75" customHeight="1" x14ac:dyDescent="0.25">
      <c r="B16" s="160"/>
      <c r="C16" s="117">
        <v>2209</v>
      </c>
      <c r="D16" s="245"/>
      <c r="E16" s="47"/>
      <c r="F16" s="164"/>
    </row>
    <row r="17" spans="1:6" ht="18.75" customHeight="1" x14ac:dyDescent="0.25">
      <c r="B17" s="159" t="s">
        <v>7</v>
      </c>
      <c r="C17" s="117">
        <f>14+1305</f>
        <v>1319</v>
      </c>
      <c r="D17" s="244">
        <f>SUM(C17)/C18*100</f>
        <v>100</v>
      </c>
      <c r="E17" s="47"/>
      <c r="F17" s="163" t="s">
        <v>44</v>
      </c>
    </row>
    <row r="18" spans="1:6" ht="18.75" customHeight="1" x14ac:dyDescent="0.25">
      <c r="B18" s="160"/>
      <c r="C18" s="117">
        <f>14+1305</f>
        <v>1319</v>
      </c>
      <c r="D18" s="245"/>
      <c r="E18" s="47"/>
      <c r="F18" s="164"/>
    </row>
    <row r="19" spans="1:6" ht="18.75" customHeight="1" x14ac:dyDescent="0.25">
      <c r="B19" s="159" t="s">
        <v>8</v>
      </c>
      <c r="C19" s="117">
        <v>1319</v>
      </c>
      <c r="D19" s="244">
        <f>SUM(C19)/C20*100</f>
        <v>95.579710144927532</v>
      </c>
      <c r="E19" s="47"/>
      <c r="F19" s="163" t="s">
        <v>44</v>
      </c>
    </row>
    <row r="20" spans="1:6" ht="18.75" customHeight="1" x14ac:dyDescent="0.25">
      <c r="B20" s="160"/>
      <c r="C20" s="117">
        <v>1380</v>
      </c>
      <c r="D20" s="245"/>
      <c r="E20" s="47"/>
      <c r="F20" s="164"/>
    </row>
    <row r="21" spans="1:6" ht="18.75" customHeight="1" x14ac:dyDescent="0.25">
      <c r="B21" s="159" t="s">
        <v>9</v>
      </c>
      <c r="C21" s="117">
        <v>2338</v>
      </c>
      <c r="D21" s="244">
        <f>SUM(C21)/C22*100</f>
        <v>52.480359147025816</v>
      </c>
      <c r="E21" s="47"/>
      <c r="F21" s="163" t="s">
        <v>44</v>
      </c>
    </row>
    <row r="22" spans="1:6" ht="18.75" customHeight="1" x14ac:dyDescent="0.25">
      <c r="B22" s="160"/>
      <c r="C22" s="117">
        <v>4455</v>
      </c>
      <c r="D22" s="245"/>
      <c r="E22" s="47"/>
      <c r="F22" s="164"/>
    </row>
    <row r="23" spans="1:6" ht="18.75" customHeight="1" x14ac:dyDescent="0.25">
      <c r="B23" s="159" t="s">
        <v>10</v>
      </c>
      <c r="C23" s="117">
        <v>843</v>
      </c>
      <c r="D23" s="244">
        <f>SUM(C23)/C24*100</f>
        <v>18.92255892255892</v>
      </c>
      <c r="E23" s="47"/>
      <c r="F23" s="163" t="s">
        <v>44</v>
      </c>
    </row>
    <row r="24" spans="1:6" ht="18.75" customHeight="1" x14ac:dyDescent="0.25">
      <c r="B24" s="160"/>
      <c r="C24" s="117">
        <v>4455</v>
      </c>
      <c r="D24" s="245"/>
      <c r="E24" s="47"/>
      <c r="F24" s="164"/>
    </row>
    <row r="25" spans="1:6" ht="18.75" customHeight="1" x14ac:dyDescent="0.25">
      <c r="A25" s="168"/>
      <c r="B25" s="159" t="s">
        <v>63</v>
      </c>
      <c r="C25" s="117">
        <v>4455</v>
      </c>
      <c r="D25" s="244">
        <f>+C25/C26*100</f>
        <v>100</v>
      </c>
      <c r="E25" s="47"/>
      <c r="F25" s="163" t="s">
        <v>64</v>
      </c>
    </row>
    <row r="26" spans="1:6" ht="18.75" customHeight="1" x14ac:dyDescent="0.25">
      <c r="A26" s="168"/>
      <c r="B26" s="160"/>
      <c r="C26" s="117">
        <v>4455</v>
      </c>
      <c r="D26" s="245"/>
      <c r="E26" s="47"/>
      <c r="F26" s="164"/>
    </row>
    <row r="27" spans="1:6" ht="18.75" customHeight="1" x14ac:dyDescent="0.25">
      <c r="B27" s="159" t="s">
        <v>103</v>
      </c>
      <c r="C27" s="117">
        <v>65</v>
      </c>
      <c r="D27" s="244">
        <f>+C27/C28*100</f>
        <v>1.4590347923681257</v>
      </c>
      <c r="E27" s="47"/>
      <c r="F27" s="163" t="s">
        <v>44</v>
      </c>
    </row>
    <row r="28" spans="1:6" ht="18.75" customHeight="1" x14ac:dyDescent="0.25">
      <c r="B28" s="160"/>
      <c r="C28" s="117">
        <v>4455</v>
      </c>
      <c r="D28" s="245"/>
      <c r="E28" s="47"/>
      <c r="F28" s="164"/>
    </row>
    <row r="29" spans="1:6" ht="30.6" customHeight="1" x14ac:dyDescent="0.25">
      <c r="B29" s="50" t="s">
        <v>11</v>
      </c>
      <c r="C29" s="50" t="s">
        <v>2</v>
      </c>
      <c r="D29" s="50" t="s">
        <v>3</v>
      </c>
      <c r="F29" s="51" t="s">
        <v>43</v>
      </c>
    </row>
    <row r="30" spans="1:6" ht="18.75" customHeight="1" x14ac:dyDescent="0.25">
      <c r="B30" s="159" t="s">
        <v>12</v>
      </c>
      <c r="C30" s="117">
        <v>4455</v>
      </c>
      <c r="D30" s="246">
        <f>SUM(C30)/C31</f>
        <v>19.285714285714285</v>
      </c>
      <c r="E30" s="47"/>
      <c r="F30" s="163" t="s">
        <v>45</v>
      </c>
    </row>
    <row r="31" spans="1:6" ht="19.2" customHeight="1" x14ac:dyDescent="0.25">
      <c r="B31" s="160"/>
      <c r="C31" s="117">
        <v>231</v>
      </c>
      <c r="D31" s="247"/>
      <c r="E31" s="47"/>
      <c r="F31" s="164"/>
    </row>
    <row r="32" spans="1:6" ht="19.2" customHeight="1" x14ac:dyDescent="0.25">
      <c r="B32" s="159" t="s">
        <v>13</v>
      </c>
      <c r="C32" s="117">
        <v>183</v>
      </c>
      <c r="D32" s="244">
        <f>SUM(C32)/C33*100</f>
        <v>79.220779220779221</v>
      </c>
      <c r="E32" s="47"/>
      <c r="F32" s="163" t="s">
        <v>45</v>
      </c>
    </row>
    <row r="33" spans="2:6" ht="19.2" customHeight="1" x14ac:dyDescent="0.25">
      <c r="B33" s="160"/>
      <c r="C33" s="117">
        <v>231</v>
      </c>
      <c r="D33" s="245"/>
      <c r="E33" s="47"/>
      <c r="F33" s="164"/>
    </row>
    <row r="34" spans="2:6" ht="19.2" customHeight="1" x14ac:dyDescent="0.25">
      <c r="B34" s="159" t="s">
        <v>14</v>
      </c>
      <c r="C34" s="117">
        <v>224</v>
      </c>
      <c r="D34" s="244">
        <f>SUM(C34)/C35*100</f>
        <v>96.969696969696969</v>
      </c>
      <c r="E34" s="47"/>
      <c r="F34" s="163" t="s">
        <v>45</v>
      </c>
    </row>
    <row r="35" spans="2:6" ht="19.2" customHeight="1" x14ac:dyDescent="0.25">
      <c r="B35" s="160"/>
      <c r="C35" s="117">
        <v>231</v>
      </c>
      <c r="D35" s="245"/>
      <c r="E35" s="47"/>
      <c r="F35" s="164"/>
    </row>
    <row r="36" spans="2:6" ht="19.2" customHeight="1" x14ac:dyDescent="0.25">
      <c r="B36" s="159" t="s">
        <v>15</v>
      </c>
      <c r="C36" s="117">
        <v>105</v>
      </c>
      <c r="D36" s="244">
        <f>SUM(C36)/C37*100</f>
        <v>45.454545454545453</v>
      </c>
      <c r="E36" s="47"/>
      <c r="F36" s="163" t="s">
        <v>45</v>
      </c>
    </row>
    <row r="37" spans="2:6" ht="19.2" customHeight="1" x14ac:dyDescent="0.25">
      <c r="B37" s="160"/>
      <c r="C37" s="117">
        <v>231</v>
      </c>
      <c r="D37" s="245"/>
      <c r="E37" s="47"/>
      <c r="F37" s="164"/>
    </row>
    <row r="38" spans="2:6" ht="19.2" customHeight="1" x14ac:dyDescent="0.25">
      <c r="B38" s="159" t="s">
        <v>16</v>
      </c>
      <c r="C38" s="117">
        <v>184</v>
      </c>
      <c r="D38" s="244">
        <f>SUM(C38)/C39*100</f>
        <v>79.65367965367966</v>
      </c>
      <c r="E38" s="47"/>
      <c r="F38" s="163" t="s">
        <v>45</v>
      </c>
    </row>
    <row r="39" spans="2:6" ht="19.2" customHeight="1" x14ac:dyDescent="0.25">
      <c r="B39" s="160"/>
      <c r="C39" s="117">
        <v>231</v>
      </c>
      <c r="D39" s="245"/>
      <c r="E39" s="47"/>
      <c r="F39" s="164"/>
    </row>
    <row r="40" spans="2:6" ht="19.2" customHeight="1" x14ac:dyDescent="0.25">
      <c r="B40" s="169" t="s">
        <v>17</v>
      </c>
      <c r="C40" s="117">
        <v>231</v>
      </c>
      <c r="D40" s="248">
        <f>+C40/C41*100</f>
        <v>100</v>
      </c>
      <c r="E40" s="47"/>
      <c r="F40" s="163" t="s">
        <v>45</v>
      </c>
    </row>
    <row r="41" spans="2:6" ht="19.2" customHeight="1" x14ac:dyDescent="0.25">
      <c r="B41" s="170"/>
      <c r="C41" s="117">
        <v>231</v>
      </c>
      <c r="D41" s="249"/>
      <c r="E41" s="47"/>
      <c r="F41" s="164"/>
    </row>
    <row r="42" spans="2:6" ht="30.6" customHeight="1" x14ac:dyDescent="0.25">
      <c r="B42" s="50" t="s">
        <v>18</v>
      </c>
      <c r="C42" s="50" t="s">
        <v>2</v>
      </c>
      <c r="D42" s="50" t="s">
        <v>3</v>
      </c>
      <c r="F42" s="51" t="s">
        <v>43</v>
      </c>
    </row>
    <row r="43" spans="2:6" ht="18.75" customHeight="1" x14ac:dyDescent="0.25">
      <c r="B43" s="159" t="s">
        <v>19</v>
      </c>
      <c r="C43" s="117">
        <v>1319</v>
      </c>
      <c r="D43" s="244">
        <f>C43/C44*100</f>
        <v>95.579710144927532</v>
      </c>
      <c r="F43" s="173"/>
    </row>
    <row r="44" spans="2:6" ht="18.75" customHeight="1" x14ac:dyDescent="0.25">
      <c r="B44" s="160"/>
      <c r="C44" s="117">
        <v>1380</v>
      </c>
      <c r="D44" s="245"/>
      <c r="F44" s="174"/>
    </row>
    <row r="45" spans="2:6" ht="18.75" customHeight="1" x14ac:dyDescent="0.25">
      <c r="B45" s="159" t="s">
        <v>21</v>
      </c>
      <c r="C45" s="117">
        <v>1427</v>
      </c>
      <c r="D45" s="244">
        <f>SUM(C45)/C46*100</f>
        <v>22.120601457138427</v>
      </c>
      <c r="E45" s="47"/>
      <c r="F45" s="163" t="s">
        <v>46</v>
      </c>
    </row>
    <row r="46" spans="2:6" ht="18.75" customHeight="1" x14ac:dyDescent="0.25">
      <c r="B46" s="160"/>
      <c r="C46" s="117">
        <v>6451</v>
      </c>
      <c r="D46" s="245"/>
      <c r="E46" s="47"/>
      <c r="F46" s="164"/>
    </row>
    <row r="47" spans="2:6" ht="18.75" customHeight="1" x14ac:dyDescent="0.25">
      <c r="B47" s="159" t="s">
        <v>22</v>
      </c>
      <c r="C47" s="117">
        <v>1727</v>
      </c>
      <c r="D47" s="244">
        <f>SUM(C47)/C48*100</f>
        <v>26.771043249108669</v>
      </c>
      <c r="E47" s="47"/>
      <c r="F47" s="163" t="s">
        <v>46</v>
      </c>
    </row>
    <row r="48" spans="2:6" ht="18.75" customHeight="1" x14ac:dyDescent="0.25">
      <c r="B48" s="160"/>
      <c r="C48" s="117">
        <v>6451</v>
      </c>
      <c r="D48" s="245"/>
      <c r="E48" s="47"/>
      <c r="F48" s="164"/>
    </row>
    <row r="49" spans="2:8" ht="18.75" customHeight="1" x14ac:dyDescent="0.25">
      <c r="B49" s="159" t="s">
        <v>23</v>
      </c>
      <c r="C49" s="117">
        <v>1742</v>
      </c>
      <c r="D49" s="244">
        <f>SUM(C49)/C50*100</f>
        <v>39.102132435465769</v>
      </c>
      <c r="E49" s="47"/>
      <c r="F49" s="163" t="s">
        <v>56</v>
      </c>
    </row>
    <row r="50" spans="2:8" ht="18.75" customHeight="1" x14ac:dyDescent="0.25">
      <c r="B50" s="160"/>
      <c r="C50" s="117">
        <v>4455</v>
      </c>
      <c r="D50" s="245"/>
      <c r="E50" s="47"/>
      <c r="F50" s="164"/>
    </row>
    <row r="51" spans="2:8" ht="18.75" customHeight="1" x14ac:dyDescent="0.25">
      <c r="B51" s="159" t="s">
        <v>24</v>
      </c>
      <c r="C51" s="117">
        <v>1311</v>
      </c>
      <c r="D51" s="244">
        <f>SUM(C51)/C52*100</f>
        <v>29.427609427609429</v>
      </c>
      <c r="E51" s="47"/>
      <c r="F51" s="163" t="s">
        <v>56</v>
      </c>
    </row>
    <row r="52" spans="2:8" ht="18.75" customHeight="1" x14ac:dyDescent="0.25">
      <c r="B52" s="160"/>
      <c r="C52" s="117">
        <v>4455</v>
      </c>
      <c r="D52" s="245"/>
      <c r="E52" s="47"/>
      <c r="F52" s="164"/>
    </row>
    <row r="53" spans="2:8" ht="18.75" customHeight="1" x14ac:dyDescent="0.25">
      <c r="B53" s="159" t="s">
        <v>25</v>
      </c>
      <c r="C53" s="117">
        <v>342</v>
      </c>
      <c r="D53" s="244">
        <f>SUM(C53)/C54*100</f>
        <v>33.300876338851019</v>
      </c>
      <c r="E53" s="47"/>
      <c r="F53" s="163" t="s">
        <v>47</v>
      </c>
    </row>
    <row r="54" spans="2:8" ht="18.75" customHeight="1" x14ac:dyDescent="0.25">
      <c r="B54" s="160"/>
      <c r="C54" s="117">
        <v>1027</v>
      </c>
      <c r="D54" s="245"/>
      <c r="E54" s="47"/>
      <c r="F54" s="164"/>
    </row>
    <row r="55" spans="2:8" ht="18.75" customHeight="1" x14ac:dyDescent="0.25">
      <c r="B55" s="159" t="s">
        <v>26</v>
      </c>
      <c r="C55" s="117">
        <v>88</v>
      </c>
      <c r="D55" s="244">
        <f>SUM(C55)/C56*100</f>
        <v>100</v>
      </c>
      <c r="E55" s="47"/>
      <c r="F55" s="163" t="s">
        <v>48</v>
      </c>
      <c r="H55" s="175"/>
    </row>
    <row r="56" spans="2:8" ht="18.75" customHeight="1" x14ac:dyDescent="0.25">
      <c r="B56" s="160"/>
      <c r="C56" s="117">
        <v>88</v>
      </c>
      <c r="D56" s="245"/>
      <c r="E56" s="47"/>
      <c r="F56" s="164"/>
      <c r="H56" s="175"/>
    </row>
    <row r="57" spans="2:8" ht="30.6" customHeight="1" x14ac:dyDescent="0.25">
      <c r="B57" s="50" t="s">
        <v>27</v>
      </c>
      <c r="C57" s="50" t="s">
        <v>2</v>
      </c>
      <c r="D57" s="50" t="s">
        <v>3</v>
      </c>
      <c r="F57" s="51" t="s">
        <v>43</v>
      </c>
    </row>
    <row r="58" spans="2:8" ht="18.75" customHeight="1" x14ac:dyDescent="0.25">
      <c r="B58" s="159" t="s">
        <v>28</v>
      </c>
      <c r="C58" s="121">
        <v>387</v>
      </c>
      <c r="D58" s="250">
        <f>SUM(C58)/C59*100</f>
        <v>8.6868686868686869</v>
      </c>
      <c r="E58" s="47"/>
      <c r="F58" s="163" t="s">
        <v>49</v>
      </c>
    </row>
    <row r="59" spans="2:8" ht="18.75" customHeight="1" x14ac:dyDescent="0.25">
      <c r="B59" s="160"/>
      <c r="C59" s="119">
        <v>4455</v>
      </c>
      <c r="D59" s="251"/>
      <c r="E59" s="47"/>
      <c r="F59" s="164"/>
    </row>
    <row r="60" spans="2:8" ht="18.75" customHeight="1" x14ac:dyDescent="0.25">
      <c r="B60" s="159" t="s">
        <v>29</v>
      </c>
      <c r="C60" s="119">
        <v>55</v>
      </c>
      <c r="D60" s="250">
        <f>SUM(C60)/C61*100</f>
        <v>72.368421052631575</v>
      </c>
      <c r="E60" s="47"/>
      <c r="F60" s="163" t="s">
        <v>49</v>
      </c>
    </row>
    <row r="61" spans="2:8" ht="18.75" customHeight="1" x14ac:dyDescent="0.25">
      <c r="B61" s="160"/>
      <c r="C61" s="119">
        <v>76</v>
      </c>
      <c r="D61" s="251"/>
      <c r="E61" s="47"/>
      <c r="F61" s="164"/>
    </row>
    <row r="62" spans="2:8" ht="18.75" customHeight="1" x14ac:dyDescent="0.25">
      <c r="B62" s="159" t="s">
        <v>30</v>
      </c>
      <c r="C62" s="119">
        <v>10</v>
      </c>
      <c r="D62" s="250">
        <f>SUM(C62)/C63*100</f>
        <v>13.157894736842104</v>
      </c>
      <c r="E62" s="47"/>
      <c r="F62" s="163" t="s">
        <v>49</v>
      </c>
    </row>
    <row r="63" spans="2:8" ht="18.75" customHeight="1" x14ac:dyDescent="0.25">
      <c r="B63" s="160"/>
      <c r="C63" s="119">
        <v>76</v>
      </c>
      <c r="D63" s="251"/>
      <c r="E63" s="47"/>
      <c r="F63" s="164"/>
    </row>
    <row r="64" spans="2:8" ht="18.75" customHeight="1" x14ac:dyDescent="0.25">
      <c r="B64" s="159" t="s">
        <v>31</v>
      </c>
      <c r="C64" s="119">
        <v>4887728.3004000001</v>
      </c>
      <c r="D64" s="176">
        <f>SUM(C64)/C65*100</f>
        <v>2.7202867624269449</v>
      </c>
      <c r="E64" s="47"/>
      <c r="F64" s="75" t="s">
        <v>136</v>
      </c>
    </row>
    <row r="65" spans="2:8" ht="18.75" customHeight="1" x14ac:dyDescent="0.25">
      <c r="B65" s="160"/>
      <c r="C65" s="119">
        <v>179676950.53</v>
      </c>
      <c r="D65" s="177"/>
      <c r="E65" s="47"/>
      <c r="F65" s="76" t="s">
        <v>53</v>
      </c>
    </row>
    <row r="66" spans="2:8" ht="30.6" customHeight="1" x14ac:dyDescent="0.25">
      <c r="B66" s="50" t="s">
        <v>32</v>
      </c>
      <c r="C66" s="50" t="s">
        <v>2</v>
      </c>
      <c r="D66" s="50" t="s">
        <v>3</v>
      </c>
      <c r="F66" s="51" t="s">
        <v>43</v>
      </c>
    </row>
    <row r="67" spans="2:8" ht="18.75" customHeight="1" x14ac:dyDescent="0.25">
      <c r="B67" s="159" t="s">
        <v>33</v>
      </c>
      <c r="C67" s="117">
        <v>2412</v>
      </c>
      <c r="D67" s="252">
        <f>+C67/C68*100</f>
        <v>35.335481980662173</v>
      </c>
      <c r="E67" s="47"/>
      <c r="F67" s="75" t="s">
        <v>138</v>
      </c>
    </row>
    <row r="68" spans="2:8" ht="18.75" customHeight="1" x14ac:dyDescent="0.25">
      <c r="B68" s="160"/>
      <c r="C68" s="117">
        <v>6826</v>
      </c>
      <c r="D68" s="253"/>
      <c r="E68" s="47"/>
      <c r="F68" s="76" t="s">
        <v>135</v>
      </c>
    </row>
    <row r="69" spans="2:8" ht="18.75" customHeight="1" x14ac:dyDescent="0.25">
      <c r="B69" s="159" t="s">
        <v>34</v>
      </c>
      <c r="C69" s="117">
        <v>72</v>
      </c>
      <c r="D69" s="244">
        <f>SUM(C69)/C70*100</f>
        <v>100</v>
      </c>
      <c r="E69" s="47"/>
      <c r="F69" s="55" t="s">
        <v>136</v>
      </c>
      <c r="H69" s="178"/>
    </row>
    <row r="70" spans="2:8" ht="18.75" customHeight="1" x14ac:dyDescent="0.25">
      <c r="B70" s="160"/>
      <c r="C70" s="117">
        <v>72</v>
      </c>
      <c r="D70" s="245"/>
      <c r="E70" s="47"/>
      <c r="F70" s="76" t="s">
        <v>50</v>
      </c>
      <c r="H70" s="178"/>
    </row>
    <row r="71" spans="2:8" ht="18.75" customHeight="1" x14ac:dyDescent="0.25">
      <c r="B71" s="159" t="s">
        <v>35</v>
      </c>
      <c r="C71" s="117">
        <v>10820</v>
      </c>
      <c r="D71" s="244">
        <f>SUM(C71)/C72</f>
        <v>2.4287317620650954</v>
      </c>
      <c r="E71" s="47"/>
      <c r="F71" s="179" t="s">
        <v>51</v>
      </c>
    </row>
    <row r="72" spans="2:8" ht="18.75" customHeight="1" x14ac:dyDescent="0.25">
      <c r="B72" s="160"/>
      <c r="C72" s="117">
        <v>4455</v>
      </c>
      <c r="D72" s="245"/>
      <c r="E72" s="47"/>
      <c r="F72" s="179"/>
    </row>
    <row r="73" spans="2:8" ht="18.75" customHeight="1" x14ac:dyDescent="0.25">
      <c r="B73" s="159" t="s">
        <v>36</v>
      </c>
      <c r="C73" s="117">
        <v>4455</v>
      </c>
      <c r="D73" s="246">
        <f>SUM(C73)/C74</f>
        <v>13.141592920353983</v>
      </c>
      <c r="E73" s="47"/>
      <c r="F73" s="182" t="s">
        <v>52</v>
      </c>
    </row>
    <row r="74" spans="2:8" ht="18.75" customHeight="1" x14ac:dyDescent="0.25">
      <c r="B74" s="160"/>
      <c r="C74" s="117">
        <v>339</v>
      </c>
      <c r="D74" s="247"/>
      <c r="E74" s="47"/>
      <c r="F74" s="183"/>
    </row>
    <row r="75" spans="2:8" ht="18.75" customHeight="1" x14ac:dyDescent="0.25">
      <c r="B75" s="254" t="s">
        <v>37</v>
      </c>
      <c r="C75" s="117">
        <v>4455</v>
      </c>
      <c r="D75" s="246">
        <f>SUM(C75)/C76</f>
        <v>36.516393442622949</v>
      </c>
      <c r="E75" s="47"/>
      <c r="F75" s="163" t="s">
        <v>45</v>
      </c>
    </row>
    <row r="76" spans="2:8" ht="18.75" customHeight="1" x14ac:dyDescent="0.25">
      <c r="B76" s="255"/>
      <c r="C76" s="117">
        <v>122</v>
      </c>
      <c r="D76" s="247"/>
      <c r="E76" s="47"/>
      <c r="F76" s="164"/>
    </row>
    <row r="77" spans="2:8" ht="18.75" customHeight="1" x14ac:dyDescent="0.25">
      <c r="B77" s="254" t="s">
        <v>38</v>
      </c>
      <c r="C77" s="117">
        <v>101</v>
      </c>
      <c r="D77" s="244">
        <f>SUM(C77)/C78*100</f>
        <v>82.786885245901644</v>
      </c>
      <c r="E77" s="47"/>
      <c r="F77" s="163" t="s">
        <v>45</v>
      </c>
    </row>
    <row r="78" spans="2:8" ht="18.75" customHeight="1" x14ac:dyDescent="0.25">
      <c r="B78" s="255"/>
      <c r="C78" s="117">
        <v>122</v>
      </c>
      <c r="D78" s="245"/>
      <c r="E78" s="47"/>
      <c r="F78" s="164"/>
    </row>
    <row r="79" spans="2:8" ht="18.75" customHeight="1" x14ac:dyDescent="0.25">
      <c r="B79" s="159" t="s">
        <v>39</v>
      </c>
      <c r="C79" s="120">
        <v>139761619.37</v>
      </c>
      <c r="D79" s="244">
        <f>SUM(C79)/C80/1000</f>
        <v>38.640204415261266</v>
      </c>
      <c r="E79" s="47"/>
      <c r="F79" s="163" t="s">
        <v>53</v>
      </c>
      <c r="G79" s="69"/>
    </row>
    <row r="80" spans="2:8" ht="18.75" customHeight="1" x14ac:dyDescent="0.25">
      <c r="B80" s="160"/>
      <c r="C80" s="117">
        <v>3617</v>
      </c>
      <c r="D80" s="245"/>
      <c r="E80" s="47"/>
      <c r="F80" s="164"/>
    </row>
    <row r="81" spans="2:6" x14ac:dyDescent="0.25">
      <c r="B81" s="47"/>
      <c r="C81" s="47"/>
      <c r="D81" s="47"/>
      <c r="F81" s="57"/>
    </row>
    <row r="82" spans="2:6" ht="109.2" customHeight="1" x14ac:dyDescent="0.5">
      <c r="B82" s="58" t="s">
        <v>61</v>
      </c>
    </row>
    <row r="83" spans="2:6" x14ac:dyDescent="0.25">
      <c r="B83" s="59" t="s">
        <v>60</v>
      </c>
      <c r="C83" s="165"/>
      <c r="D83" s="165"/>
    </row>
  </sheetData>
  <mergeCells count="106">
    <mergeCell ref="C83:D83"/>
    <mergeCell ref="B77:B78"/>
    <mergeCell ref="D77:D78"/>
    <mergeCell ref="F77:F78"/>
    <mergeCell ref="B79:B80"/>
    <mergeCell ref="D79:D80"/>
    <mergeCell ref="F79:F80"/>
    <mergeCell ref="B73:B74"/>
    <mergeCell ref="D73:D74"/>
    <mergeCell ref="F73:F74"/>
    <mergeCell ref="B75:B76"/>
    <mergeCell ref="D75:D76"/>
    <mergeCell ref="F75:F76"/>
    <mergeCell ref="B69:B70"/>
    <mergeCell ref="D69:D70"/>
    <mergeCell ref="H69:H70"/>
    <mergeCell ref="B71:B72"/>
    <mergeCell ref="D71:D72"/>
    <mergeCell ref="F71:F72"/>
    <mergeCell ref="B62:B63"/>
    <mergeCell ref="D62:D63"/>
    <mergeCell ref="F62:F63"/>
    <mergeCell ref="B64:B65"/>
    <mergeCell ref="D64:D65"/>
    <mergeCell ref="B67:B68"/>
    <mergeCell ref="D67:D68"/>
    <mergeCell ref="H55:H56"/>
    <mergeCell ref="B58:B59"/>
    <mergeCell ref="D58:D59"/>
    <mergeCell ref="F58:F59"/>
    <mergeCell ref="B60:B61"/>
    <mergeCell ref="D60:D61"/>
    <mergeCell ref="F60:F61"/>
    <mergeCell ref="B53:B54"/>
    <mergeCell ref="D53:D54"/>
    <mergeCell ref="F53:F54"/>
    <mergeCell ref="B55:B56"/>
    <mergeCell ref="D55:D56"/>
    <mergeCell ref="F55:F56"/>
    <mergeCell ref="B49:B50"/>
    <mergeCell ref="D49:D50"/>
    <mergeCell ref="F49:F50"/>
    <mergeCell ref="B51:B52"/>
    <mergeCell ref="D51:D52"/>
    <mergeCell ref="F51:F52"/>
    <mergeCell ref="B45:B46"/>
    <mergeCell ref="D45:D46"/>
    <mergeCell ref="F45:F46"/>
    <mergeCell ref="B47:B48"/>
    <mergeCell ref="D47:D48"/>
    <mergeCell ref="F47:F48"/>
    <mergeCell ref="B40:B41"/>
    <mergeCell ref="D40:D41"/>
    <mergeCell ref="F40:F41"/>
    <mergeCell ref="B43:B44"/>
    <mergeCell ref="D43:D44"/>
    <mergeCell ref="F43:F44"/>
    <mergeCell ref="B36:B37"/>
    <mergeCell ref="D36:D37"/>
    <mergeCell ref="F36:F37"/>
    <mergeCell ref="B38:B39"/>
    <mergeCell ref="D38:D39"/>
    <mergeCell ref="F38:F39"/>
    <mergeCell ref="B32:B33"/>
    <mergeCell ref="D32:D33"/>
    <mergeCell ref="F32:F33"/>
    <mergeCell ref="B34:B35"/>
    <mergeCell ref="D34:D35"/>
    <mergeCell ref="F34:F35"/>
    <mergeCell ref="B27:B28"/>
    <mergeCell ref="D27:D28"/>
    <mergeCell ref="F27:F28"/>
    <mergeCell ref="B30:B31"/>
    <mergeCell ref="D30:D31"/>
    <mergeCell ref="F30:F31"/>
    <mergeCell ref="B23:B24"/>
    <mergeCell ref="D23:D24"/>
    <mergeCell ref="F23:F24"/>
    <mergeCell ref="A25:A26"/>
    <mergeCell ref="B25:B26"/>
    <mergeCell ref="D25:D26"/>
    <mergeCell ref="F25:F26"/>
    <mergeCell ref="B19:B20"/>
    <mergeCell ref="D19:D20"/>
    <mergeCell ref="F19:F20"/>
    <mergeCell ref="B21:B22"/>
    <mergeCell ref="D21:D22"/>
    <mergeCell ref="F21:F22"/>
    <mergeCell ref="B17:B18"/>
    <mergeCell ref="D17:D18"/>
    <mergeCell ref="F17:F18"/>
    <mergeCell ref="B11:B12"/>
    <mergeCell ref="D11:D12"/>
    <mergeCell ref="F11:F12"/>
    <mergeCell ref="B13:B14"/>
    <mergeCell ref="D13:D14"/>
    <mergeCell ref="F13:F14"/>
    <mergeCell ref="B5:D5"/>
    <mergeCell ref="B6:D6"/>
    <mergeCell ref="B7:D7"/>
    <mergeCell ref="B9:B10"/>
    <mergeCell ref="D9:D10"/>
    <mergeCell ref="F9:F10"/>
    <mergeCell ref="B15:B16"/>
    <mergeCell ref="D15:D16"/>
    <mergeCell ref="F15:F16"/>
  </mergeCells>
  <printOptions horizontalCentered="1" verticalCentered="1"/>
  <pageMargins left="0.39370078740157483" right="0.39370078740157483" top="0.39370078740157483" bottom="0.39370078740157483" header="0.31496062992125984" footer="0.31496062992125984"/>
  <pageSetup scale="46" orientation="portrait" horizontalDpi="4294967295" verticalDpi="4294967295"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4:H83"/>
  <sheetViews>
    <sheetView topLeftCell="A56" zoomScaleNormal="100" zoomScaleSheetLayoutView="75" workbookViewId="0">
      <selection activeCell="B75" sqref="B75:B76"/>
    </sheetView>
  </sheetViews>
  <sheetFormatPr baseColWidth="10" defaultColWidth="11.5546875" defaultRowHeight="18" x14ac:dyDescent="0.25"/>
  <cols>
    <col min="1" max="1" width="2.88671875" style="49" customWidth="1"/>
    <col min="2" max="2" width="77.6640625" style="49" customWidth="1"/>
    <col min="3" max="3" width="15.88671875" style="49" customWidth="1"/>
    <col min="4" max="4" width="14.6640625" style="49" customWidth="1"/>
    <col min="5" max="5" width="3.6640625" style="48" customWidth="1"/>
    <col min="6" max="6" width="24.33203125" style="49" customWidth="1"/>
    <col min="7" max="7" width="2.6640625" style="49" customWidth="1"/>
    <col min="8" max="8" width="58.6640625" style="49" customWidth="1"/>
    <col min="9" max="16384" width="11.5546875" style="49"/>
  </cols>
  <sheetData>
    <row r="4" spans="2:6" ht="25.2" x14ac:dyDescent="0.25">
      <c r="B4" s="46"/>
      <c r="C4" s="47"/>
      <c r="D4" s="47"/>
      <c r="F4" s="47"/>
    </row>
    <row r="5" spans="2:6" ht="99" customHeight="1" x14ac:dyDescent="0.25">
      <c r="B5" s="154" t="s">
        <v>185</v>
      </c>
      <c r="C5" s="154"/>
      <c r="D5" s="154"/>
    </row>
    <row r="6" spans="2:6" ht="25.2" x14ac:dyDescent="0.25">
      <c r="B6" s="155" t="s">
        <v>0</v>
      </c>
      <c r="C6" s="156"/>
      <c r="D6" s="157"/>
    </row>
    <row r="7" spans="2:6" ht="36" customHeight="1" x14ac:dyDescent="0.25">
      <c r="B7" s="158" t="s">
        <v>41</v>
      </c>
      <c r="C7" s="158"/>
      <c r="D7" s="158"/>
    </row>
    <row r="8" spans="2:6" ht="35.4" customHeight="1" x14ac:dyDescent="0.25">
      <c r="B8" s="50" t="s">
        <v>1</v>
      </c>
      <c r="C8" s="50" t="s">
        <v>2</v>
      </c>
      <c r="D8" s="50" t="s">
        <v>3</v>
      </c>
      <c r="F8" s="51" t="s">
        <v>43</v>
      </c>
    </row>
    <row r="9" spans="2:6" ht="18.75" customHeight="1" x14ac:dyDescent="0.25">
      <c r="B9" s="159" t="s">
        <v>54</v>
      </c>
      <c r="C9" s="117">
        <v>1031</v>
      </c>
      <c r="D9" s="244">
        <f>SUM(C9)/C10*100</f>
        <v>97.264150943396217</v>
      </c>
      <c r="F9" s="161" t="s">
        <v>44</v>
      </c>
    </row>
    <row r="10" spans="2:6" ht="18.75" customHeight="1" x14ac:dyDescent="0.25">
      <c r="B10" s="160"/>
      <c r="C10" s="117">
        <v>1060</v>
      </c>
      <c r="D10" s="245"/>
      <c r="F10" s="162"/>
    </row>
    <row r="11" spans="2:6" ht="18.75" customHeight="1" x14ac:dyDescent="0.25">
      <c r="B11" s="159" t="s">
        <v>4</v>
      </c>
      <c r="C11" s="117">
        <v>5</v>
      </c>
      <c r="D11" s="244">
        <f>SUM(C11)/C12*100</f>
        <v>0.25050100200400799</v>
      </c>
      <c r="F11" s="161" t="s">
        <v>44</v>
      </c>
    </row>
    <row r="12" spans="2:6" ht="18.75" customHeight="1" x14ac:dyDescent="0.25">
      <c r="B12" s="160"/>
      <c r="C12" s="117">
        <v>1996</v>
      </c>
      <c r="D12" s="245"/>
      <c r="F12" s="162"/>
    </row>
    <row r="13" spans="2:6" ht="18.75" customHeight="1" x14ac:dyDescent="0.25">
      <c r="B13" s="159" t="s">
        <v>5</v>
      </c>
      <c r="C13" s="117">
        <v>127</v>
      </c>
      <c r="D13" s="244">
        <f>SUM(C13)/C14*100</f>
        <v>2.552250803858521</v>
      </c>
      <c r="F13" s="161" t="s">
        <v>44</v>
      </c>
    </row>
    <row r="14" spans="2:6" ht="18.75" customHeight="1" x14ac:dyDescent="0.25">
      <c r="B14" s="160"/>
      <c r="C14" s="117">
        <v>4976</v>
      </c>
      <c r="D14" s="245"/>
      <c r="F14" s="162"/>
    </row>
    <row r="15" spans="2:6" ht="18.75" customHeight="1" x14ac:dyDescent="0.25">
      <c r="B15" s="159" t="s">
        <v>6</v>
      </c>
      <c r="C15" s="117">
        <v>858</v>
      </c>
      <c r="D15" s="244">
        <f>SUM(C15)/C16*100</f>
        <v>85.458167330677298</v>
      </c>
      <c r="F15" s="161" t="s">
        <v>44</v>
      </c>
    </row>
    <row r="16" spans="2:6" ht="18.75" customHeight="1" x14ac:dyDescent="0.25">
      <c r="B16" s="160"/>
      <c r="C16" s="117">
        <v>1004</v>
      </c>
      <c r="D16" s="245"/>
      <c r="F16" s="162"/>
    </row>
    <row r="17" spans="1:6" ht="18.75" customHeight="1" x14ac:dyDescent="0.25">
      <c r="B17" s="159" t="s">
        <v>7</v>
      </c>
      <c r="C17" s="117">
        <v>913</v>
      </c>
      <c r="D17" s="244">
        <f>SUM(C17)/C18*100</f>
        <v>100</v>
      </c>
      <c r="F17" s="161" t="s">
        <v>44</v>
      </c>
    </row>
    <row r="18" spans="1:6" ht="18.75" customHeight="1" x14ac:dyDescent="0.25">
      <c r="B18" s="160"/>
      <c r="C18" s="117">
        <v>913</v>
      </c>
      <c r="D18" s="245"/>
      <c r="F18" s="162"/>
    </row>
    <row r="19" spans="1:6" ht="18.75" customHeight="1" x14ac:dyDescent="0.25">
      <c r="B19" s="159" t="s">
        <v>8</v>
      </c>
      <c r="C19" s="117">
        <v>913</v>
      </c>
      <c r="D19" s="244">
        <f>SUM(C19)/C20*100</f>
        <v>93.833504624871537</v>
      </c>
      <c r="F19" s="161" t="s">
        <v>44</v>
      </c>
    </row>
    <row r="20" spans="1:6" ht="18.75" customHeight="1" x14ac:dyDescent="0.25">
      <c r="B20" s="160"/>
      <c r="C20" s="117">
        <v>973</v>
      </c>
      <c r="D20" s="245"/>
      <c r="F20" s="162"/>
    </row>
    <row r="21" spans="1:6" ht="18.75" customHeight="1" x14ac:dyDescent="0.25">
      <c r="B21" s="159" t="s">
        <v>9</v>
      </c>
      <c r="C21" s="117">
        <v>1910</v>
      </c>
      <c r="D21" s="244">
        <f>SUM(C21)/C22*100</f>
        <v>95.69138276553106</v>
      </c>
      <c r="F21" s="161" t="s">
        <v>44</v>
      </c>
    </row>
    <row r="22" spans="1:6" ht="18.75" customHeight="1" x14ac:dyDescent="0.25">
      <c r="B22" s="160"/>
      <c r="C22" s="117">
        <v>1996</v>
      </c>
      <c r="D22" s="245"/>
      <c r="F22" s="162"/>
    </row>
    <row r="23" spans="1:6" ht="18.75" customHeight="1" x14ac:dyDescent="0.25">
      <c r="B23" s="159" t="s">
        <v>10</v>
      </c>
      <c r="C23" s="117">
        <v>160</v>
      </c>
      <c r="D23" s="244">
        <f>SUM(C23)/C24*100</f>
        <v>8.0160320641282556</v>
      </c>
      <c r="F23" s="161" t="s">
        <v>44</v>
      </c>
    </row>
    <row r="24" spans="1:6" ht="18.75" customHeight="1" x14ac:dyDescent="0.25">
      <c r="B24" s="160"/>
      <c r="C24" s="117">
        <v>1996</v>
      </c>
      <c r="D24" s="245"/>
      <c r="F24" s="162"/>
    </row>
    <row r="25" spans="1:6" ht="18.75" customHeight="1" x14ac:dyDescent="0.25">
      <c r="A25" s="168"/>
      <c r="B25" s="159" t="s">
        <v>63</v>
      </c>
      <c r="C25" s="117">
        <v>1996</v>
      </c>
      <c r="D25" s="244">
        <f>+C25/C26*100</f>
        <v>100</v>
      </c>
      <c r="F25" s="161" t="s">
        <v>64</v>
      </c>
    </row>
    <row r="26" spans="1:6" ht="18.75" customHeight="1" x14ac:dyDescent="0.25">
      <c r="A26" s="168"/>
      <c r="B26" s="160"/>
      <c r="C26" s="117">
        <v>1996</v>
      </c>
      <c r="D26" s="245"/>
      <c r="F26" s="162"/>
    </row>
    <row r="27" spans="1:6" ht="18.75" customHeight="1" x14ac:dyDescent="0.25">
      <c r="B27" s="159" t="s">
        <v>103</v>
      </c>
      <c r="C27" s="117">
        <v>64</v>
      </c>
      <c r="D27" s="244">
        <f>+C27/C28*100</f>
        <v>3.2064128256513023</v>
      </c>
      <c r="F27" s="161" t="s">
        <v>44</v>
      </c>
    </row>
    <row r="28" spans="1:6" ht="18.75" customHeight="1" x14ac:dyDescent="0.25">
      <c r="B28" s="160"/>
      <c r="C28" s="117">
        <v>1996</v>
      </c>
      <c r="D28" s="245"/>
      <c r="F28" s="162"/>
    </row>
    <row r="29" spans="1:6" ht="35.4" customHeight="1" x14ac:dyDescent="0.25">
      <c r="B29" s="50" t="s">
        <v>11</v>
      </c>
      <c r="C29" s="50" t="s">
        <v>2</v>
      </c>
      <c r="D29" s="50" t="s">
        <v>3</v>
      </c>
      <c r="F29" s="51" t="s">
        <v>43</v>
      </c>
    </row>
    <row r="30" spans="1:6" ht="18.75" customHeight="1" x14ac:dyDescent="0.25">
      <c r="B30" s="159" t="s">
        <v>12</v>
      </c>
      <c r="C30" s="117">
        <v>1996</v>
      </c>
      <c r="D30" s="246">
        <f>SUM(C30)/C31</f>
        <v>8.6406926406926399</v>
      </c>
      <c r="F30" s="163" t="s">
        <v>45</v>
      </c>
    </row>
    <row r="31" spans="1:6" ht="18.75" customHeight="1" x14ac:dyDescent="0.25">
      <c r="B31" s="160"/>
      <c r="C31" s="117">
        <v>231</v>
      </c>
      <c r="D31" s="247"/>
      <c r="F31" s="164"/>
    </row>
    <row r="32" spans="1:6" ht="18.75" customHeight="1" x14ac:dyDescent="0.25">
      <c r="B32" s="159" t="s">
        <v>13</v>
      </c>
      <c r="C32" s="117">
        <v>183</v>
      </c>
      <c r="D32" s="244">
        <f>SUM(C32)/C33*100</f>
        <v>79.220779220779221</v>
      </c>
      <c r="F32" s="163" t="s">
        <v>45</v>
      </c>
    </row>
    <row r="33" spans="2:6" ht="18.75" customHeight="1" x14ac:dyDescent="0.25">
      <c r="B33" s="160"/>
      <c r="C33" s="117">
        <v>231</v>
      </c>
      <c r="D33" s="245"/>
      <c r="F33" s="164"/>
    </row>
    <row r="34" spans="2:6" ht="18.75" customHeight="1" x14ac:dyDescent="0.25">
      <c r="B34" s="159" t="s">
        <v>14</v>
      </c>
      <c r="C34" s="117">
        <v>224</v>
      </c>
      <c r="D34" s="244">
        <f>SUM(C34)/C35*100</f>
        <v>96.969696969696969</v>
      </c>
      <c r="F34" s="163" t="s">
        <v>45</v>
      </c>
    </row>
    <row r="35" spans="2:6" ht="18.75" customHeight="1" x14ac:dyDescent="0.25">
      <c r="B35" s="160"/>
      <c r="C35" s="117">
        <v>231</v>
      </c>
      <c r="D35" s="245"/>
      <c r="F35" s="164"/>
    </row>
    <row r="36" spans="2:6" ht="18.75" customHeight="1" x14ac:dyDescent="0.25">
      <c r="B36" s="159" t="s">
        <v>15</v>
      </c>
      <c r="C36" s="117">
        <v>105</v>
      </c>
      <c r="D36" s="244">
        <f>SUM(C36)/C37*100</f>
        <v>45.454545454545453</v>
      </c>
      <c r="F36" s="163" t="s">
        <v>45</v>
      </c>
    </row>
    <row r="37" spans="2:6" ht="18.75" customHeight="1" x14ac:dyDescent="0.25">
      <c r="B37" s="160"/>
      <c r="C37" s="117">
        <v>231</v>
      </c>
      <c r="D37" s="245"/>
      <c r="F37" s="164"/>
    </row>
    <row r="38" spans="2:6" ht="18.75" customHeight="1" x14ac:dyDescent="0.25">
      <c r="B38" s="159" t="s">
        <v>16</v>
      </c>
      <c r="C38" s="117">
        <v>184</v>
      </c>
      <c r="D38" s="244">
        <f>SUM(C38)/C39*100</f>
        <v>79.65367965367966</v>
      </c>
      <c r="F38" s="163" t="s">
        <v>45</v>
      </c>
    </row>
    <row r="39" spans="2:6" ht="18.75" customHeight="1" x14ac:dyDescent="0.25">
      <c r="B39" s="160"/>
      <c r="C39" s="117">
        <v>231</v>
      </c>
      <c r="D39" s="245"/>
      <c r="F39" s="164"/>
    </row>
    <row r="40" spans="2:6" ht="18.75" customHeight="1" x14ac:dyDescent="0.25">
      <c r="B40" s="169" t="s">
        <v>17</v>
      </c>
      <c r="C40" s="117">
        <v>231</v>
      </c>
      <c r="D40" s="248">
        <f>+C40/C41*100</f>
        <v>100</v>
      </c>
      <c r="F40" s="163" t="s">
        <v>45</v>
      </c>
    </row>
    <row r="41" spans="2:6" ht="18.75" customHeight="1" x14ac:dyDescent="0.25">
      <c r="B41" s="170"/>
      <c r="C41" s="117">
        <v>231</v>
      </c>
      <c r="D41" s="249"/>
      <c r="F41" s="164"/>
    </row>
    <row r="42" spans="2:6" ht="35.4" customHeight="1" x14ac:dyDescent="0.25">
      <c r="B42" s="50" t="s">
        <v>18</v>
      </c>
      <c r="C42" s="50" t="s">
        <v>2</v>
      </c>
      <c r="D42" s="50" t="s">
        <v>3</v>
      </c>
      <c r="F42" s="51" t="s">
        <v>43</v>
      </c>
    </row>
    <row r="43" spans="2:6" ht="19.5" customHeight="1" x14ac:dyDescent="0.25">
      <c r="B43" s="159" t="s">
        <v>19</v>
      </c>
      <c r="C43" s="117">
        <v>913</v>
      </c>
      <c r="D43" s="244">
        <f>C43/C44*100</f>
        <v>93.833504624871537</v>
      </c>
      <c r="F43" s="173"/>
    </row>
    <row r="44" spans="2:6" ht="19.5" customHeight="1" x14ac:dyDescent="0.25">
      <c r="B44" s="160"/>
      <c r="C44" s="117">
        <v>973</v>
      </c>
      <c r="D44" s="245"/>
      <c r="F44" s="174"/>
    </row>
    <row r="45" spans="2:6" ht="19.5" customHeight="1" x14ac:dyDescent="0.25">
      <c r="B45" s="159" t="s">
        <v>21</v>
      </c>
      <c r="C45" s="117">
        <v>1427</v>
      </c>
      <c r="D45" s="244">
        <f>SUM(C45)/C46*100</f>
        <v>22.120601457138427</v>
      </c>
      <c r="F45" s="163" t="s">
        <v>46</v>
      </c>
    </row>
    <row r="46" spans="2:6" ht="19.5" customHeight="1" x14ac:dyDescent="0.25">
      <c r="B46" s="160"/>
      <c r="C46" s="117">
        <v>6451</v>
      </c>
      <c r="D46" s="245"/>
      <c r="F46" s="164"/>
    </row>
    <row r="47" spans="2:6" ht="19.5" customHeight="1" x14ac:dyDescent="0.25">
      <c r="B47" s="159" t="s">
        <v>22</v>
      </c>
      <c r="C47" s="117">
        <v>1727</v>
      </c>
      <c r="D47" s="244">
        <f>SUM(C47)/C48*100</f>
        <v>26.771043249108669</v>
      </c>
      <c r="F47" s="163" t="s">
        <v>46</v>
      </c>
    </row>
    <row r="48" spans="2:6" ht="19.5" customHeight="1" x14ac:dyDescent="0.25">
      <c r="B48" s="160"/>
      <c r="C48" s="117">
        <v>6451</v>
      </c>
      <c r="D48" s="245"/>
      <c r="F48" s="164"/>
    </row>
    <row r="49" spans="2:6" ht="19.5" customHeight="1" x14ac:dyDescent="0.25">
      <c r="B49" s="159" t="s">
        <v>23</v>
      </c>
      <c r="C49" s="117">
        <v>837</v>
      </c>
      <c r="D49" s="244">
        <f>SUM(C49)/C50*100</f>
        <v>41.93386773547094</v>
      </c>
      <c r="F49" s="163" t="s">
        <v>56</v>
      </c>
    </row>
    <row r="50" spans="2:6" ht="19.5" customHeight="1" x14ac:dyDescent="0.25">
      <c r="B50" s="160"/>
      <c r="C50" s="117">
        <v>1996</v>
      </c>
      <c r="D50" s="245"/>
      <c r="F50" s="164"/>
    </row>
    <row r="51" spans="2:6" ht="19.5" customHeight="1" x14ac:dyDescent="0.25">
      <c r="B51" s="159" t="s">
        <v>24</v>
      </c>
      <c r="C51" s="117">
        <v>1903</v>
      </c>
      <c r="D51" s="244">
        <f>SUM(C51)/C52*100</f>
        <v>95.340681362725448</v>
      </c>
      <c r="F51" s="163" t="s">
        <v>56</v>
      </c>
    </row>
    <row r="52" spans="2:6" ht="19.5" customHeight="1" x14ac:dyDescent="0.25">
      <c r="B52" s="160"/>
      <c r="C52" s="117">
        <v>1996</v>
      </c>
      <c r="D52" s="245"/>
      <c r="F52" s="164"/>
    </row>
    <row r="53" spans="2:6" ht="19.5" customHeight="1" x14ac:dyDescent="0.25">
      <c r="B53" s="159" t="s">
        <v>25</v>
      </c>
      <c r="C53" s="117">
        <v>328</v>
      </c>
      <c r="D53" s="244">
        <f>+C53/C54*100</f>
        <v>36.730123180291152</v>
      </c>
      <c r="F53" s="163" t="s">
        <v>47</v>
      </c>
    </row>
    <row r="54" spans="2:6" ht="19.5" customHeight="1" x14ac:dyDescent="0.25">
      <c r="B54" s="160"/>
      <c r="C54" s="117">
        <v>893</v>
      </c>
      <c r="D54" s="245"/>
      <c r="F54" s="164"/>
    </row>
    <row r="55" spans="2:6" ht="19.5" customHeight="1" x14ac:dyDescent="0.25">
      <c r="B55" s="159" t="s">
        <v>26</v>
      </c>
      <c r="C55" s="117">
        <v>88</v>
      </c>
      <c r="D55" s="244">
        <f>SUM(C55)/C56*100</f>
        <v>100</v>
      </c>
      <c r="F55" s="163" t="s">
        <v>48</v>
      </c>
    </row>
    <row r="56" spans="2:6" ht="19.5" customHeight="1" x14ac:dyDescent="0.25">
      <c r="B56" s="160"/>
      <c r="C56" s="117">
        <v>88</v>
      </c>
      <c r="D56" s="245"/>
      <c r="F56" s="164"/>
    </row>
    <row r="57" spans="2:6" ht="35.4" customHeight="1" x14ac:dyDescent="0.25">
      <c r="B57" s="50" t="s">
        <v>27</v>
      </c>
      <c r="C57" s="50" t="s">
        <v>2</v>
      </c>
      <c r="D57" s="50" t="s">
        <v>3</v>
      </c>
      <c r="F57" s="51" t="s">
        <v>43</v>
      </c>
    </row>
    <row r="58" spans="2:6" ht="19.5" customHeight="1" x14ac:dyDescent="0.25">
      <c r="B58" s="159" t="s">
        <v>28</v>
      </c>
      <c r="C58" s="121">
        <v>54</v>
      </c>
      <c r="D58" s="250">
        <f>SUM(C58)/C59*100</f>
        <v>2.7054108216432864</v>
      </c>
      <c r="F58" s="163" t="s">
        <v>49</v>
      </c>
    </row>
    <row r="59" spans="2:6" ht="19.5" customHeight="1" x14ac:dyDescent="0.25">
      <c r="B59" s="160"/>
      <c r="C59" s="119">
        <v>1996</v>
      </c>
      <c r="D59" s="251"/>
      <c r="F59" s="164"/>
    </row>
    <row r="60" spans="2:6" ht="19.5" customHeight="1" x14ac:dyDescent="0.25">
      <c r="B60" s="159" t="s">
        <v>29</v>
      </c>
      <c r="C60" s="119">
        <v>18</v>
      </c>
      <c r="D60" s="250">
        <f>SUM(C60)/C61*100</f>
        <v>52.941176470588239</v>
      </c>
      <c r="F60" s="163" t="s">
        <v>49</v>
      </c>
    </row>
    <row r="61" spans="2:6" ht="19.5" customHeight="1" x14ac:dyDescent="0.25">
      <c r="B61" s="160"/>
      <c r="C61" s="119">
        <v>34</v>
      </c>
      <c r="D61" s="251"/>
      <c r="F61" s="164"/>
    </row>
    <row r="62" spans="2:6" ht="19.5" customHeight="1" x14ac:dyDescent="0.25">
      <c r="B62" s="159" t="s">
        <v>30</v>
      </c>
      <c r="C62" s="119">
        <v>6</v>
      </c>
      <c r="D62" s="250">
        <f>SUM(C62)/C63*100</f>
        <v>17.647058823529413</v>
      </c>
      <c r="F62" s="163" t="s">
        <v>49</v>
      </c>
    </row>
    <row r="63" spans="2:6" ht="19.5" customHeight="1" x14ac:dyDescent="0.25">
      <c r="B63" s="160"/>
      <c r="C63" s="119">
        <v>34</v>
      </c>
      <c r="D63" s="251"/>
      <c r="F63" s="164"/>
    </row>
    <row r="64" spans="2:6" ht="19.5" customHeight="1" x14ac:dyDescent="0.25">
      <c r="B64" s="159" t="s">
        <v>31</v>
      </c>
      <c r="C64" s="119">
        <v>2517920.6396000003</v>
      </c>
      <c r="D64" s="176">
        <f>SUM(C64)/C65*100</f>
        <v>1.4013598473108504</v>
      </c>
      <c r="F64" s="75" t="s">
        <v>136</v>
      </c>
    </row>
    <row r="65" spans="2:8" ht="19.5" customHeight="1" x14ac:dyDescent="0.25">
      <c r="B65" s="160"/>
      <c r="C65" s="119">
        <v>179676950.53</v>
      </c>
      <c r="D65" s="177"/>
      <c r="F65" s="76" t="s">
        <v>53</v>
      </c>
    </row>
    <row r="66" spans="2:8" ht="35.4" customHeight="1" x14ac:dyDescent="0.25">
      <c r="B66" s="50" t="s">
        <v>32</v>
      </c>
      <c r="C66" s="50" t="s">
        <v>2</v>
      </c>
      <c r="D66" s="50" t="s">
        <v>3</v>
      </c>
      <c r="F66" s="51" t="s">
        <v>43</v>
      </c>
    </row>
    <row r="67" spans="2:8" ht="18.75" customHeight="1" x14ac:dyDescent="0.25">
      <c r="B67" s="159" t="s">
        <v>33</v>
      </c>
      <c r="C67" s="116"/>
      <c r="D67" s="257" t="s">
        <v>20</v>
      </c>
      <c r="F67" s="75" t="s">
        <v>138</v>
      </c>
    </row>
    <row r="68" spans="2:8" ht="18.75" customHeight="1" x14ac:dyDescent="0.25">
      <c r="B68" s="160"/>
      <c r="C68" s="116"/>
      <c r="D68" s="258"/>
      <c r="F68" s="76" t="s">
        <v>135</v>
      </c>
    </row>
    <row r="69" spans="2:8" ht="18.75" customHeight="1" x14ac:dyDescent="0.25">
      <c r="B69" s="159" t="s">
        <v>34</v>
      </c>
      <c r="C69" s="117">
        <v>72</v>
      </c>
      <c r="D69" s="244">
        <f>SUM(C69)/C70*100</f>
        <v>100</v>
      </c>
      <c r="F69" s="55" t="s">
        <v>136</v>
      </c>
      <c r="H69" s="242"/>
    </row>
    <row r="70" spans="2:8" ht="18.75" customHeight="1" x14ac:dyDescent="0.25">
      <c r="B70" s="160"/>
      <c r="C70" s="117">
        <v>72</v>
      </c>
      <c r="D70" s="245"/>
      <c r="F70" s="76" t="s">
        <v>50</v>
      </c>
      <c r="H70" s="242"/>
    </row>
    <row r="71" spans="2:8" ht="18.75" customHeight="1" x14ac:dyDescent="0.25">
      <c r="B71" s="159" t="s">
        <v>35</v>
      </c>
      <c r="C71" s="117">
        <v>10820</v>
      </c>
      <c r="D71" s="256">
        <f>SUM(C71)/C72</f>
        <v>5.4208416833667332</v>
      </c>
      <c r="F71" s="179" t="s">
        <v>51</v>
      </c>
      <c r="H71" s="56"/>
    </row>
    <row r="72" spans="2:8" ht="18.75" customHeight="1" x14ac:dyDescent="0.25">
      <c r="B72" s="160"/>
      <c r="C72" s="118">
        <v>1996</v>
      </c>
      <c r="D72" s="256"/>
      <c r="F72" s="179"/>
    </row>
    <row r="73" spans="2:8" ht="18.75" customHeight="1" x14ac:dyDescent="0.25">
      <c r="B73" s="159" t="s">
        <v>36</v>
      </c>
      <c r="C73" s="117">
        <v>1995</v>
      </c>
      <c r="D73" s="246">
        <f>SUM(C73)/C74</f>
        <v>5.884955752212389</v>
      </c>
      <c r="F73" s="166" t="s">
        <v>52</v>
      </c>
    </row>
    <row r="74" spans="2:8" ht="18.75" customHeight="1" x14ac:dyDescent="0.25">
      <c r="B74" s="160"/>
      <c r="C74" s="117">
        <v>339</v>
      </c>
      <c r="D74" s="247"/>
      <c r="F74" s="167"/>
    </row>
    <row r="75" spans="2:8" ht="18.75" customHeight="1" x14ac:dyDescent="0.25">
      <c r="B75" s="254" t="s">
        <v>37</v>
      </c>
      <c r="C75" s="117">
        <v>1996</v>
      </c>
      <c r="D75" s="246">
        <f>SUM(C75)/C76</f>
        <v>16.360655737704917</v>
      </c>
      <c r="F75" s="163" t="s">
        <v>45</v>
      </c>
    </row>
    <row r="76" spans="2:8" ht="18.75" customHeight="1" x14ac:dyDescent="0.25">
      <c r="B76" s="255"/>
      <c r="C76" s="117">
        <v>122</v>
      </c>
      <c r="D76" s="247"/>
      <c r="F76" s="164"/>
    </row>
    <row r="77" spans="2:8" ht="18.75" customHeight="1" x14ac:dyDescent="0.25">
      <c r="B77" s="254" t="s">
        <v>38</v>
      </c>
      <c r="C77" s="117">
        <v>101</v>
      </c>
      <c r="D77" s="244">
        <f>SUM(C77)/C78*100</f>
        <v>82.786885245901644</v>
      </c>
      <c r="F77" s="163" t="s">
        <v>45</v>
      </c>
    </row>
    <row r="78" spans="2:8" ht="18.75" customHeight="1" x14ac:dyDescent="0.25">
      <c r="B78" s="255"/>
      <c r="C78" s="117">
        <v>122</v>
      </c>
      <c r="D78" s="245"/>
      <c r="F78" s="164"/>
    </row>
    <row r="79" spans="2:8" ht="18.75" customHeight="1" x14ac:dyDescent="0.25">
      <c r="B79" s="159" t="s">
        <v>39</v>
      </c>
      <c r="C79" s="120">
        <v>39915331.159999996</v>
      </c>
      <c r="D79" s="244">
        <f>SUM(C79)/C80/1000</f>
        <v>38.640204414327201</v>
      </c>
      <c r="F79" s="161" t="s">
        <v>53</v>
      </c>
    </row>
    <row r="80" spans="2:8" ht="18.75" customHeight="1" x14ac:dyDescent="0.25">
      <c r="B80" s="160"/>
      <c r="C80" s="117">
        <v>1033</v>
      </c>
      <c r="D80" s="245"/>
      <c r="F80" s="162"/>
    </row>
    <row r="81" spans="2:6" x14ac:dyDescent="0.25">
      <c r="B81" s="57"/>
      <c r="C81" s="57"/>
      <c r="D81" s="57"/>
      <c r="F81" s="57"/>
    </row>
    <row r="82" spans="2:6" ht="109.2" customHeight="1" x14ac:dyDescent="0.5">
      <c r="B82" s="58" t="s">
        <v>61</v>
      </c>
    </row>
    <row r="83" spans="2:6" x14ac:dyDescent="0.25">
      <c r="B83" s="59" t="s">
        <v>60</v>
      </c>
      <c r="C83" s="165"/>
      <c r="D83" s="165"/>
    </row>
  </sheetData>
  <mergeCells count="105">
    <mergeCell ref="C83:D83"/>
    <mergeCell ref="B77:B78"/>
    <mergeCell ref="D77:D78"/>
    <mergeCell ref="F77:F78"/>
    <mergeCell ref="B79:B80"/>
    <mergeCell ref="D79:D80"/>
    <mergeCell ref="F79:F80"/>
    <mergeCell ref="B73:B74"/>
    <mergeCell ref="D73:D74"/>
    <mergeCell ref="F73:F74"/>
    <mergeCell ref="B75:B76"/>
    <mergeCell ref="D75:D76"/>
    <mergeCell ref="F75:F76"/>
    <mergeCell ref="B69:B70"/>
    <mergeCell ref="D69:D70"/>
    <mergeCell ref="H69:H70"/>
    <mergeCell ref="B71:B72"/>
    <mergeCell ref="D71:D72"/>
    <mergeCell ref="F71:F72"/>
    <mergeCell ref="B62:B63"/>
    <mergeCell ref="D62:D63"/>
    <mergeCell ref="F62:F63"/>
    <mergeCell ref="B64:B65"/>
    <mergeCell ref="D64:D65"/>
    <mergeCell ref="B67:B68"/>
    <mergeCell ref="D67:D68"/>
    <mergeCell ref="B58:B59"/>
    <mergeCell ref="D58:D59"/>
    <mergeCell ref="F58:F59"/>
    <mergeCell ref="B60:B61"/>
    <mergeCell ref="D60:D61"/>
    <mergeCell ref="F60:F61"/>
    <mergeCell ref="B53:B54"/>
    <mergeCell ref="D53:D54"/>
    <mergeCell ref="F53:F54"/>
    <mergeCell ref="B55:B56"/>
    <mergeCell ref="D55:D56"/>
    <mergeCell ref="F55:F56"/>
    <mergeCell ref="B49:B50"/>
    <mergeCell ref="D49:D50"/>
    <mergeCell ref="F49:F50"/>
    <mergeCell ref="B51:B52"/>
    <mergeCell ref="D51:D52"/>
    <mergeCell ref="F51:F52"/>
    <mergeCell ref="B45:B46"/>
    <mergeCell ref="D45:D46"/>
    <mergeCell ref="F45:F46"/>
    <mergeCell ref="B47:B48"/>
    <mergeCell ref="D47:D48"/>
    <mergeCell ref="F47:F48"/>
    <mergeCell ref="B40:B41"/>
    <mergeCell ref="D40:D41"/>
    <mergeCell ref="F40:F41"/>
    <mergeCell ref="B43:B44"/>
    <mergeCell ref="D43:D44"/>
    <mergeCell ref="F43:F44"/>
    <mergeCell ref="B36:B37"/>
    <mergeCell ref="D36:D37"/>
    <mergeCell ref="F36:F37"/>
    <mergeCell ref="B38:B39"/>
    <mergeCell ref="D38:D39"/>
    <mergeCell ref="F38:F39"/>
    <mergeCell ref="B32:B33"/>
    <mergeCell ref="D32:D33"/>
    <mergeCell ref="F32:F33"/>
    <mergeCell ref="B34:B35"/>
    <mergeCell ref="D34:D35"/>
    <mergeCell ref="F34:F35"/>
    <mergeCell ref="B27:B28"/>
    <mergeCell ref="D27:D28"/>
    <mergeCell ref="F27:F28"/>
    <mergeCell ref="B30:B31"/>
    <mergeCell ref="D30:D31"/>
    <mergeCell ref="F30:F31"/>
    <mergeCell ref="B23:B24"/>
    <mergeCell ref="D23:D24"/>
    <mergeCell ref="F23:F24"/>
    <mergeCell ref="A25:A26"/>
    <mergeCell ref="B25:B26"/>
    <mergeCell ref="D25:D26"/>
    <mergeCell ref="F25:F26"/>
    <mergeCell ref="B19:B20"/>
    <mergeCell ref="D19:D20"/>
    <mergeCell ref="F19:F20"/>
    <mergeCell ref="B21:B22"/>
    <mergeCell ref="D21:D22"/>
    <mergeCell ref="F21:F22"/>
    <mergeCell ref="B17:B18"/>
    <mergeCell ref="D17:D18"/>
    <mergeCell ref="F17:F18"/>
    <mergeCell ref="B11:B12"/>
    <mergeCell ref="D11:D12"/>
    <mergeCell ref="F11:F12"/>
    <mergeCell ref="B13:B14"/>
    <mergeCell ref="D13:D14"/>
    <mergeCell ref="F13:F14"/>
    <mergeCell ref="B5:D5"/>
    <mergeCell ref="B6:D6"/>
    <mergeCell ref="B7:D7"/>
    <mergeCell ref="B9:B10"/>
    <mergeCell ref="D9:D10"/>
    <mergeCell ref="F9:F10"/>
    <mergeCell ref="B15:B16"/>
    <mergeCell ref="D15:D16"/>
    <mergeCell ref="F15:F16"/>
  </mergeCells>
  <printOptions horizontalCentered="1" verticalCentered="1"/>
  <pageMargins left="0.39370078740157483" right="0.39370078740157483" top="0.39370078740157483" bottom="0.39370078740157483" header="0.31496062992125984" footer="0.31496062992125984"/>
  <pageSetup scale="4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Matricula SD2021</vt:lpstr>
      <vt:lpstr>Indicadores 2022-2023 TSU</vt:lpstr>
      <vt:lpstr>Indicadores 2021-2022 TSU</vt:lpstr>
      <vt:lpstr>Indicadores 2021-2022 ING</vt:lpstr>
      <vt:lpstr>Indicadores 2020-2021 TSU</vt:lpstr>
      <vt:lpstr>Indicadores 2020-2021 ING</vt:lpstr>
      <vt:lpstr>Indicadores 2022-2023 ING</vt:lpstr>
      <vt:lpstr>Indicadores 2023-2024 TSU</vt:lpstr>
      <vt:lpstr>Indicadores 2023-2024 ING </vt:lpstr>
      <vt:lpstr>Indicadores 2024-2025 TSU </vt:lpstr>
      <vt:lpstr>Indicadores 2024-2025 ING </vt:lpstr>
      <vt:lpstr>Indicadores 2024-2025 POSGRADO</vt:lpstr>
      <vt:lpstr>Indicadores 2024-2025 GLOBAL</vt:lpstr>
      <vt:lpstr>Hoja2</vt:lpstr>
      <vt:lpstr>Hoja1</vt:lpstr>
      <vt:lpstr>'Indicadores 2020-2021 ING'!Área_de_impresión</vt:lpstr>
      <vt:lpstr>'Indicadores 2020-2021 TSU'!Área_de_impresión</vt:lpstr>
      <vt:lpstr>'Indicadores 2021-2022 ING'!Área_de_impresión</vt:lpstr>
      <vt:lpstr>'Indicadores 2021-2022 TSU'!Área_de_impresión</vt:lpstr>
      <vt:lpstr>'Indicadores 2022-2023 ING'!Área_de_impresión</vt:lpstr>
      <vt:lpstr>'Indicadores 2022-2023 TSU'!Área_de_impresión</vt:lpstr>
      <vt:lpstr>'Indicadores 2023-2024 ING '!Área_de_impresión</vt:lpstr>
      <vt:lpstr>'Indicadores 2023-2024 TSU'!Área_de_impresión</vt:lpstr>
      <vt:lpstr>'Indicadores 2024-2025 GLOBAL'!Área_de_impresión</vt:lpstr>
      <vt:lpstr>'Indicadores 2024-2025 ING '!Área_de_impresión</vt:lpstr>
      <vt:lpstr>'Indicadores 2024-2025 POSGRADO'!Área_de_impresión</vt:lpstr>
      <vt:lpstr>'Indicadores 2024-2025 TSU '!Área_de_impresión</vt:lpstr>
      <vt:lpstr>'Matricula SD2021'!Área_de_impresión</vt:lpstr>
      <vt:lpstr>'Matricula SD2021'!Títulos_a_imprimir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Cedesoft10</dc:creator>
  <cp:lastModifiedBy>Usuario de Windows</cp:lastModifiedBy>
  <cp:lastPrinted>2025-02-21T15:58:59Z</cp:lastPrinted>
  <dcterms:created xsi:type="dcterms:W3CDTF">2017-04-10T21:57:41Z</dcterms:created>
  <dcterms:modified xsi:type="dcterms:W3CDTF">2025-11-13T19:07:18Z</dcterms:modified>
</cp:coreProperties>
</file>